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24226"/>
  <mc:AlternateContent xmlns:mc="http://schemas.openxmlformats.org/markup-compatibility/2006">
    <mc:Choice Requires="x15">
      <x15ac:absPath xmlns:x15ac="http://schemas.microsoft.com/office/spreadsheetml/2010/11/ac" url="C:\Users\paulcooney888\Desktop\Real Estate\SpreadSheet Analysis\Income Property Analysis\Residential Property Analysis\Residential Property Analysis\"/>
    </mc:Choice>
  </mc:AlternateContent>
  <xr:revisionPtr revIDLastSave="0" documentId="13_ncr:1_{12E9CE0B-A8F3-4C89-95EB-F8A4D8B1DEDE}" xr6:coauthVersionLast="45" xr6:coauthVersionMax="45" xr10:uidLastSave="{00000000-0000-0000-0000-000000000000}"/>
  <bookViews>
    <workbookView xWindow="-120" yWindow="-120" windowWidth="24240" windowHeight="13140" xr2:uid="{00000000-000D-0000-FFFF-FFFF00000000}"/>
  </bookViews>
  <sheets>
    <sheet name="Property Overview" sheetId="1" r:id="rId1"/>
    <sheet name="Financial Analysis" sheetId="6" r:id="rId2"/>
    <sheet name="Definitions" sheetId="12" r:id="rId3"/>
    <sheet name="Calcula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3" l="1"/>
  <c r="M3" i="3"/>
  <c r="AA4" i="3"/>
  <c r="B35" i="6"/>
  <c r="O4" i="3"/>
  <c r="L9" i="1"/>
  <c r="L8" i="1"/>
  <c r="L7" i="1"/>
  <c r="K13" i="1"/>
  <c r="K12" i="1"/>
  <c r="K11" i="1"/>
  <c r="K10" i="1"/>
  <c r="K9" i="1"/>
  <c r="K8" i="1"/>
  <c r="K7" i="1"/>
  <c r="K24" i="1"/>
  <c r="B10" i="6"/>
  <c r="C10" i="6"/>
  <c r="K23" i="1"/>
  <c r="B11" i="6"/>
  <c r="L13" i="1"/>
  <c r="L12" i="1"/>
  <c r="L11" i="1"/>
  <c r="L10" i="1"/>
  <c r="L17" i="1"/>
  <c r="B15" i="6"/>
  <c r="C15" i="6"/>
  <c r="D15" i="6"/>
  <c r="E15" i="6"/>
  <c r="F15" i="6"/>
  <c r="G15" i="6"/>
  <c r="H15" i="6"/>
  <c r="I15" i="6"/>
  <c r="J15" i="6"/>
  <c r="K15" i="6"/>
  <c r="N33" i="3"/>
  <c r="K30" i="6"/>
  <c r="L33" i="3"/>
  <c r="L28" i="3"/>
  <c r="L23" i="3"/>
  <c r="L18" i="3"/>
  <c r="L13" i="3"/>
  <c r="L8" i="3"/>
  <c r="L7" i="3"/>
  <c r="L6" i="3"/>
  <c r="L5" i="3"/>
  <c r="L4" i="3"/>
  <c r="A26" i="6"/>
  <c r="B13" i="6"/>
  <c r="C13" i="6"/>
  <c r="D13" i="6"/>
  <c r="E13" i="6"/>
  <c r="F13" i="6"/>
  <c r="G13" i="6"/>
  <c r="H13" i="6"/>
  <c r="I13" i="6"/>
  <c r="J13" i="6"/>
  <c r="K13" i="6"/>
  <c r="H53" i="1"/>
  <c r="H55" i="1"/>
  <c r="C46" i="1"/>
  <c r="C51" i="1"/>
  <c r="C52" i="1"/>
  <c r="B5" i="6"/>
  <c r="C5" i="6"/>
  <c r="D5" i="6"/>
  <c r="E5" i="6"/>
  <c r="F5" i="6"/>
  <c r="G5" i="6"/>
  <c r="H5" i="6"/>
  <c r="I5" i="6"/>
  <c r="J5" i="6"/>
  <c r="K5" i="6"/>
  <c r="L52" i="1"/>
  <c r="G4" i="3"/>
  <c r="G5" i="3"/>
  <c r="G6" i="3"/>
  <c r="L46" i="1"/>
  <c r="B14" i="6"/>
  <c r="B12" i="6"/>
  <c r="C12" i="6"/>
  <c r="D12" i="6"/>
  <c r="E12" i="6"/>
  <c r="F12" i="6"/>
  <c r="G12" i="6"/>
  <c r="H12" i="6"/>
  <c r="I12" i="6"/>
  <c r="J12" i="6"/>
  <c r="K12" i="6"/>
  <c r="A14" i="3"/>
  <c r="L18" i="1"/>
  <c r="A15" i="3"/>
  <c r="B21" i="6"/>
  <c r="C21" i="6"/>
  <c r="D21" i="6"/>
  <c r="E21" i="6"/>
  <c r="F21" i="6"/>
  <c r="G21" i="6"/>
  <c r="H21" i="6"/>
  <c r="I21" i="6"/>
  <c r="J21" i="6"/>
  <c r="K21" i="6"/>
  <c r="A16" i="3"/>
  <c r="A17" i="3"/>
  <c r="A18" i="3"/>
  <c r="K4" i="3"/>
  <c r="A19" i="3"/>
  <c r="A20" i="3"/>
  <c r="A21" i="3"/>
  <c r="A22" i="3"/>
  <c r="A23" i="3"/>
  <c r="A24" i="3"/>
  <c r="A25" i="3"/>
  <c r="A26" i="3"/>
  <c r="A27" i="3"/>
  <c r="A28" i="3"/>
  <c r="A29" i="3"/>
  <c r="A30" i="3"/>
  <c r="A31" i="3"/>
  <c r="A32" i="3"/>
  <c r="K38" i="1"/>
  <c r="L48" i="1"/>
  <c r="L14" i="1"/>
  <c r="L15" i="1"/>
  <c r="K14" i="1"/>
  <c r="K16" i="1"/>
  <c r="L47" i="1"/>
  <c r="C53" i="1"/>
  <c r="L51" i="1"/>
  <c r="N7" i="3"/>
  <c r="E30" i="6"/>
  <c r="C55" i="1"/>
  <c r="F36" i="6"/>
  <c r="C11" i="6"/>
  <c r="B16" i="6"/>
  <c r="B18" i="6"/>
  <c r="L38" i="1"/>
  <c r="L16" i="1"/>
  <c r="L19" i="1"/>
  <c r="L20" i="1"/>
  <c r="L40" i="1"/>
  <c r="L41" i="1"/>
  <c r="K15" i="1"/>
  <c r="L45" i="1"/>
  <c r="L49" i="1"/>
  <c r="L54" i="1"/>
  <c r="B4" i="6"/>
  <c r="N11" i="3"/>
  <c r="N4" i="3"/>
  <c r="B30" i="6"/>
  <c r="N10" i="3"/>
  <c r="N5" i="3"/>
  <c r="C30" i="6"/>
  <c r="K19" i="1"/>
  <c r="K20" i="1"/>
  <c r="K40" i="1"/>
  <c r="K41" i="1"/>
  <c r="N9" i="3"/>
  <c r="N3" i="3"/>
  <c r="J22" i="6"/>
  <c r="H9" i="3"/>
  <c r="H15" i="3"/>
  <c r="N17" i="3"/>
  <c r="H23" i="3"/>
  <c r="N27" i="3"/>
  <c r="N12" i="3"/>
  <c r="N13" i="3"/>
  <c r="G30" i="6"/>
  <c r="N8" i="3"/>
  <c r="F30" i="6"/>
  <c r="H14" i="3"/>
  <c r="F22" i="6"/>
  <c r="I22" i="6"/>
  <c r="H5" i="3"/>
  <c r="H8" i="3"/>
  <c r="H11" i="3"/>
  <c r="N18" i="3"/>
  <c r="H30" i="6"/>
  <c r="H19" i="3"/>
  <c r="N21" i="3"/>
  <c r="N24" i="3"/>
  <c r="N25" i="3"/>
  <c r="N26" i="3"/>
  <c r="H28" i="3"/>
  <c r="N29" i="3"/>
  <c r="H31" i="3"/>
  <c r="H33" i="3"/>
  <c r="B22" i="6"/>
  <c r="E22" i="6"/>
  <c r="H22" i="6"/>
  <c r="H4" i="3"/>
  <c r="H7" i="3"/>
  <c r="H16" i="3"/>
  <c r="N20" i="3"/>
  <c r="N23" i="3"/>
  <c r="I30" i="6"/>
  <c r="H24" i="3"/>
  <c r="H27" i="3"/>
  <c r="H29" i="3"/>
  <c r="N30" i="3"/>
  <c r="N32" i="3"/>
  <c r="H32" i="3"/>
  <c r="N6" i="3"/>
  <c r="D30" i="6"/>
  <c r="N15" i="3"/>
  <c r="H12" i="3"/>
  <c r="N16" i="3"/>
  <c r="N22" i="3"/>
  <c r="K22" i="6"/>
  <c r="H10" i="3"/>
  <c r="H13" i="3"/>
  <c r="D22" i="6"/>
  <c r="G22" i="6"/>
  <c r="H17" i="3"/>
  <c r="N19" i="3"/>
  <c r="H21" i="3"/>
  <c r="H22" i="3"/>
  <c r="H26" i="3"/>
  <c r="N28" i="3"/>
  <c r="J30" i="6"/>
  <c r="N31" i="3"/>
  <c r="N14" i="3"/>
  <c r="H6" i="3"/>
  <c r="C22" i="6"/>
  <c r="H18" i="3"/>
  <c r="H20" i="3"/>
  <c r="H25" i="3"/>
  <c r="H30" i="3"/>
  <c r="D11" i="6"/>
  <c r="E11" i="6"/>
  <c r="F11" i="6"/>
  <c r="G11" i="6"/>
  <c r="H11" i="6"/>
  <c r="I11" i="6"/>
  <c r="J11" i="6"/>
  <c r="K11" i="6"/>
  <c r="L55" i="1"/>
  <c r="C36" i="6"/>
  <c r="J36" i="6"/>
  <c r="H36" i="6"/>
  <c r="I36" i="6"/>
  <c r="B36" i="6"/>
  <c r="B39" i="6"/>
  <c r="L56" i="1"/>
  <c r="D36" i="6"/>
  <c r="U3" i="3"/>
  <c r="U4" i="3"/>
  <c r="E36" i="6"/>
  <c r="K36" i="6"/>
  <c r="G36" i="6"/>
  <c r="O3" i="3"/>
  <c r="P4" i="3"/>
  <c r="B33" i="6"/>
  <c r="Q3" i="3"/>
  <c r="R3" i="3"/>
  <c r="S4" i="3"/>
  <c r="B27" i="6"/>
  <c r="B29" i="6"/>
  <c r="B31" i="6"/>
  <c r="M4" i="3"/>
  <c r="D10" i="6"/>
  <c r="C4" i="6"/>
  <c r="B6" i="6"/>
  <c r="B7" i="6"/>
  <c r="G7" i="3"/>
  <c r="G8" i="3"/>
  <c r="B32" i="6"/>
  <c r="Q4" i="3"/>
  <c r="R4" i="3"/>
  <c r="K5" i="3"/>
  <c r="B34" i="6"/>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AA3" i="3"/>
  <c r="E15" i="3"/>
  <c r="B9" i="6"/>
  <c r="B19" i="6"/>
  <c r="E11" i="3"/>
  <c r="E32" i="3"/>
  <c r="E18" i="3"/>
  <c r="F18" i="3"/>
  <c r="B18" i="3"/>
  <c r="AP18" i="3"/>
  <c r="AQ18" i="3"/>
  <c r="AR18" i="3"/>
  <c r="AS18" i="3"/>
  <c r="AT18" i="3"/>
  <c r="AU18" i="3"/>
  <c r="AV18" i="3"/>
  <c r="AW18" i="3"/>
  <c r="AX18" i="3"/>
  <c r="AY18" i="3"/>
  <c r="AZ18" i="3"/>
  <c r="BA18" i="3"/>
  <c r="BB18" i="3"/>
  <c r="BC18" i="3"/>
  <c r="BD18" i="3"/>
  <c r="E21" i="3"/>
  <c r="E16" i="3"/>
  <c r="E10" i="3"/>
  <c r="E33" i="3"/>
  <c r="F33" i="3"/>
  <c r="B33" i="3"/>
  <c r="E7" i="3"/>
  <c r="F7" i="3"/>
  <c r="B7" i="3"/>
  <c r="AE7" i="3"/>
  <c r="AF7" i="3"/>
  <c r="AG7" i="3"/>
  <c r="AH7" i="3"/>
  <c r="AI7" i="3"/>
  <c r="AJ7" i="3"/>
  <c r="AK7" i="3"/>
  <c r="AL7" i="3"/>
  <c r="AM7" i="3"/>
  <c r="AN7" i="3"/>
  <c r="AO7" i="3"/>
  <c r="AP7" i="3"/>
  <c r="AQ7" i="3"/>
  <c r="AR7" i="3"/>
  <c r="AS7" i="3"/>
  <c r="AT7" i="3"/>
  <c r="AU7" i="3"/>
  <c r="AV7" i="3"/>
  <c r="AW7" i="3"/>
  <c r="AX7" i="3"/>
  <c r="AY7" i="3"/>
  <c r="AZ7" i="3"/>
  <c r="BA7" i="3"/>
  <c r="BB7" i="3"/>
  <c r="BC7" i="3"/>
  <c r="BD7" i="3"/>
  <c r="E26" i="3"/>
  <c r="E5" i="3"/>
  <c r="F5" i="3"/>
  <c r="E22" i="3"/>
  <c r="E9" i="3"/>
  <c r="E12" i="3"/>
  <c r="E31" i="3"/>
  <c r="E4" i="3"/>
  <c r="F4" i="3"/>
  <c r="E14" i="3"/>
  <c r="E8" i="3"/>
  <c r="F8" i="3"/>
  <c r="B8" i="3"/>
  <c r="AF8" i="3"/>
  <c r="AG8" i="3"/>
  <c r="AH8" i="3"/>
  <c r="AI8" i="3"/>
  <c r="AJ8" i="3"/>
  <c r="AK8" i="3"/>
  <c r="AL8" i="3"/>
  <c r="AM8" i="3"/>
  <c r="AN8" i="3"/>
  <c r="AO8" i="3"/>
  <c r="AP8" i="3"/>
  <c r="AQ8" i="3"/>
  <c r="AR8" i="3"/>
  <c r="AS8" i="3"/>
  <c r="AT8" i="3"/>
  <c r="AU8" i="3"/>
  <c r="AV8" i="3"/>
  <c r="AW8" i="3"/>
  <c r="AX8" i="3"/>
  <c r="AY8" i="3"/>
  <c r="AZ8" i="3"/>
  <c r="BA8" i="3"/>
  <c r="BB8" i="3"/>
  <c r="BC8" i="3"/>
  <c r="BD8" i="3"/>
  <c r="E25" i="3"/>
  <c r="E13" i="3"/>
  <c r="F13" i="3"/>
  <c r="B13" i="3"/>
  <c r="AK13" i="3"/>
  <c r="AL13" i="3"/>
  <c r="AM13" i="3"/>
  <c r="AN13" i="3"/>
  <c r="AO13" i="3"/>
  <c r="AP13" i="3"/>
  <c r="AQ13" i="3"/>
  <c r="AR13" i="3"/>
  <c r="AS13" i="3"/>
  <c r="AT13" i="3"/>
  <c r="AU13" i="3"/>
  <c r="AV13" i="3"/>
  <c r="AW13" i="3"/>
  <c r="AX13" i="3"/>
  <c r="AY13" i="3"/>
  <c r="AZ13" i="3"/>
  <c r="BA13" i="3"/>
  <c r="BB13" i="3"/>
  <c r="BC13" i="3"/>
  <c r="BD13" i="3"/>
  <c r="E24" i="3"/>
  <c r="E28" i="3"/>
  <c r="F28" i="3"/>
  <c r="B28" i="3"/>
  <c r="E23" i="3"/>
  <c r="F23" i="3"/>
  <c r="B23" i="3"/>
  <c r="AU23" i="3"/>
  <c r="AV23" i="3"/>
  <c r="AW23" i="3"/>
  <c r="AX23" i="3"/>
  <c r="AY23" i="3"/>
  <c r="AZ23" i="3"/>
  <c r="BA23" i="3"/>
  <c r="BB23" i="3"/>
  <c r="BC23" i="3"/>
  <c r="BD23" i="3"/>
  <c r="E6" i="3"/>
  <c r="F6" i="3"/>
  <c r="E29" i="3"/>
  <c r="E20" i="3"/>
  <c r="E27" i="3"/>
  <c r="E17" i="3"/>
  <c r="E19" i="3"/>
  <c r="E30" i="3"/>
  <c r="E10" i="6"/>
  <c r="C14" i="6"/>
  <c r="C16" i="6"/>
  <c r="C18" i="6"/>
  <c r="C7" i="6"/>
  <c r="C9" i="6"/>
  <c r="C6" i="6"/>
  <c r="D4" i="6"/>
  <c r="AZ28" i="3"/>
  <c r="BA28" i="3"/>
  <c r="BB28" i="3"/>
  <c r="BC28" i="3"/>
  <c r="BD28" i="3"/>
  <c r="M5" i="3"/>
  <c r="C27" i="6"/>
  <c r="C29" i="6"/>
  <c r="G9" i="3"/>
  <c r="I8" i="3"/>
  <c r="J8" i="3"/>
  <c r="AB3" i="3"/>
  <c r="AC3" i="3"/>
  <c r="AD3" i="3"/>
  <c r="AE3" i="3"/>
  <c r="Z3" i="3"/>
  <c r="B19" i="3"/>
  <c r="AQ19" i="3"/>
  <c r="AR19" i="3"/>
  <c r="AS19" i="3"/>
  <c r="AT19" i="3"/>
  <c r="AU19" i="3"/>
  <c r="AV19" i="3"/>
  <c r="AW19" i="3"/>
  <c r="AX19" i="3"/>
  <c r="AY19" i="3"/>
  <c r="AZ19" i="3"/>
  <c r="BA19" i="3"/>
  <c r="BB19" i="3"/>
  <c r="BC19" i="3"/>
  <c r="BD19" i="3"/>
  <c r="F19" i="3"/>
  <c r="F24" i="3"/>
  <c r="B24" i="3"/>
  <c r="AV24" i="3"/>
  <c r="AW24" i="3"/>
  <c r="AX24" i="3"/>
  <c r="AY24" i="3"/>
  <c r="AZ24" i="3"/>
  <c r="BA24" i="3"/>
  <c r="BB24" i="3"/>
  <c r="BC24" i="3"/>
  <c r="BD24" i="3"/>
  <c r="F14" i="3"/>
  <c r="B14" i="3"/>
  <c r="AL14" i="3"/>
  <c r="AM14" i="3"/>
  <c r="AN14" i="3"/>
  <c r="AO14" i="3"/>
  <c r="AP14" i="3"/>
  <c r="AQ14" i="3"/>
  <c r="AR14" i="3"/>
  <c r="AS14" i="3"/>
  <c r="AT14" i="3"/>
  <c r="AU14" i="3"/>
  <c r="AV14" i="3"/>
  <c r="AW14" i="3"/>
  <c r="AX14" i="3"/>
  <c r="AY14" i="3"/>
  <c r="AZ14" i="3"/>
  <c r="BA14" i="3"/>
  <c r="BB14" i="3"/>
  <c r="BC14" i="3"/>
  <c r="BD14" i="3"/>
  <c r="F9" i="3"/>
  <c r="I9" i="3"/>
  <c r="J9" i="3"/>
  <c r="B9" i="3"/>
  <c r="AG9" i="3"/>
  <c r="AH9" i="3"/>
  <c r="AI9" i="3"/>
  <c r="AJ9" i="3"/>
  <c r="AK9" i="3"/>
  <c r="AL9" i="3"/>
  <c r="AM9" i="3"/>
  <c r="AN9" i="3"/>
  <c r="AO9" i="3"/>
  <c r="AP9" i="3"/>
  <c r="AQ9" i="3"/>
  <c r="AR9" i="3"/>
  <c r="AS9" i="3"/>
  <c r="AT9" i="3"/>
  <c r="AU9" i="3"/>
  <c r="AV9" i="3"/>
  <c r="AW9" i="3"/>
  <c r="AX9" i="3"/>
  <c r="AY9" i="3"/>
  <c r="AZ9" i="3"/>
  <c r="BA9" i="3"/>
  <c r="BB9" i="3"/>
  <c r="BC9" i="3"/>
  <c r="BD9" i="3"/>
  <c r="F21" i="3"/>
  <c r="B21" i="3"/>
  <c r="AS21" i="3"/>
  <c r="AT21" i="3"/>
  <c r="AU21" i="3"/>
  <c r="AV21" i="3"/>
  <c r="AW21" i="3"/>
  <c r="AX21" i="3"/>
  <c r="AY21" i="3"/>
  <c r="AZ21" i="3"/>
  <c r="BA21" i="3"/>
  <c r="BB21" i="3"/>
  <c r="BC21" i="3"/>
  <c r="BD21" i="3"/>
  <c r="F17" i="3"/>
  <c r="B17" i="3"/>
  <c r="AO17" i="3"/>
  <c r="AP17" i="3"/>
  <c r="AQ17" i="3"/>
  <c r="AR17" i="3"/>
  <c r="AS17" i="3"/>
  <c r="AT17" i="3"/>
  <c r="AU17" i="3"/>
  <c r="AV17" i="3"/>
  <c r="AW17" i="3"/>
  <c r="AX17" i="3"/>
  <c r="AY17" i="3"/>
  <c r="AZ17" i="3"/>
  <c r="BA17" i="3"/>
  <c r="BB17" i="3"/>
  <c r="BC17" i="3"/>
  <c r="BD17" i="3"/>
  <c r="B6" i="3"/>
  <c r="AD6" i="3"/>
  <c r="AE6" i="3"/>
  <c r="AF6" i="3"/>
  <c r="AG6" i="3"/>
  <c r="AH6" i="3"/>
  <c r="AI6" i="3"/>
  <c r="AJ6" i="3"/>
  <c r="AK6" i="3"/>
  <c r="AL6" i="3"/>
  <c r="AM6" i="3"/>
  <c r="AN6" i="3"/>
  <c r="AO6" i="3"/>
  <c r="AP6" i="3"/>
  <c r="AQ6" i="3"/>
  <c r="AR6" i="3"/>
  <c r="AS6" i="3"/>
  <c r="AT6" i="3"/>
  <c r="AU6" i="3"/>
  <c r="AV6" i="3"/>
  <c r="AW6" i="3"/>
  <c r="AX6" i="3"/>
  <c r="AY6" i="3"/>
  <c r="AZ6" i="3"/>
  <c r="BA6" i="3"/>
  <c r="BB6" i="3"/>
  <c r="BC6" i="3"/>
  <c r="BD6" i="3"/>
  <c r="I6" i="3"/>
  <c r="J6" i="3"/>
  <c r="F22" i="3"/>
  <c r="B22" i="3"/>
  <c r="AT22" i="3"/>
  <c r="AU22" i="3"/>
  <c r="AV22" i="3"/>
  <c r="AW22" i="3"/>
  <c r="AX22" i="3"/>
  <c r="AY22" i="3"/>
  <c r="AZ22" i="3"/>
  <c r="BA22" i="3"/>
  <c r="BB22" i="3"/>
  <c r="BC22" i="3"/>
  <c r="BD22" i="3"/>
  <c r="F15" i="3"/>
  <c r="B15" i="3"/>
  <c r="AM15" i="3"/>
  <c r="AN15" i="3"/>
  <c r="AO15" i="3"/>
  <c r="AP15" i="3"/>
  <c r="AQ15" i="3"/>
  <c r="AR15" i="3"/>
  <c r="AS15" i="3"/>
  <c r="AT15" i="3"/>
  <c r="AU15" i="3"/>
  <c r="AV15" i="3"/>
  <c r="AW15" i="3"/>
  <c r="AX15" i="3"/>
  <c r="AY15" i="3"/>
  <c r="AZ15" i="3"/>
  <c r="BA15" i="3"/>
  <c r="BB15" i="3"/>
  <c r="BC15" i="3"/>
  <c r="BD15" i="3"/>
  <c r="I7" i="3"/>
  <c r="J7" i="3"/>
  <c r="F10" i="6"/>
  <c r="B27" i="3"/>
  <c r="AY27" i="3"/>
  <c r="AZ27" i="3"/>
  <c r="BA27" i="3"/>
  <c r="BB27" i="3"/>
  <c r="BC27" i="3"/>
  <c r="BD27" i="3"/>
  <c r="F27" i="3"/>
  <c r="F25" i="3"/>
  <c r="B25" i="3"/>
  <c r="AW25" i="3"/>
  <c r="AX25" i="3"/>
  <c r="AY25" i="3"/>
  <c r="AZ25" i="3"/>
  <c r="BA25" i="3"/>
  <c r="BB25" i="3"/>
  <c r="BC25" i="3"/>
  <c r="BD25" i="3"/>
  <c r="B31" i="3"/>
  <c r="BC31" i="3"/>
  <c r="BD31" i="3"/>
  <c r="F31" i="3"/>
  <c r="B5" i="3"/>
  <c r="I5" i="3"/>
  <c r="J5" i="3"/>
  <c r="F10" i="3"/>
  <c r="B10" i="3"/>
  <c r="AH10" i="3"/>
  <c r="AI10" i="3"/>
  <c r="AJ10" i="3"/>
  <c r="AK10" i="3"/>
  <c r="AL10" i="3"/>
  <c r="AM10" i="3"/>
  <c r="AN10" i="3"/>
  <c r="AO10" i="3"/>
  <c r="AP10" i="3"/>
  <c r="AQ10" i="3"/>
  <c r="AR10" i="3"/>
  <c r="AS10" i="3"/>
  <c r="AT10" i="3"/>
  <c r="AU10" i="3"/>
  <c r="AV10" i="3"/>
  <c r="AW10" i="3"/>
  <c r="AX10" i="3"/>
  <c r="AY10" i="3"/>
  <c r="AZ10" i="3"/>
  <c r="BA10" i="3"/>
  <c r="BB10" i="3"/>
  <c r="BC10" i="3"/>
  <c r="BD10" i="3"/>
  <c r="F32" i="3"/>
  <c r="B32" i="3"/>
  <c r="BD32" i="3"/>
  <c r="F29" i="3"/>
  <c r="B29" i="3"/>
  <c r="BA29" i="3"/>
  <c r="BB29" i="3"/>
  <c r="BC29" i="3"/>
  <c r="BD29" i="3"/>
  <c r="B23" i="6"/>
  <c r="B20" i="6"/>
  <c r="E4" i="6"/>
  <c r="D6" i="6"/>
  <c r="D7" i="6"/>
  <c r="D9" i="6"/>
  <c r="D19" i="6"/>
  <c r="D23" i="6"/>
  <c r="D14" i="6"/>
  <c r="D16" i="6"/>
  <c r="D18" i="6"/>
  <c r="B4" i="3"/>
  <c r="I4" i="3"/>
  <c r="C19" i="6"/>
  <c r="C23" i="6"/>
  <c r="B30" i="3"/>
  <c r="BB30" i="3"/>
  <c r="BC30" i="3"/>
  <c r="BD30" i="3"/>
  <c r="F30" i="3"/>
  <c r="B20" i="3"/>
  <c r="AR20" i="3"/>
  <c r="AS20" i="3"/>
  <c r="AT20" i="3"/>
  <c r="AU20" i="3"/>
  <c r="AV20" i="3"/>
  <c r="AW20" i="3"/>
  <c r="AX20" i="3"/>
  <c r="AY20" i="3"/>
  <c r="AZ20" i="3"/>
  <c r="BA20" i="3"/>
  <c r="BB20" i="3"/>
  <c r="BC20" i="3"/>
  <c r="BD20" i="3"/>
  <c r="F20" i="3"/>
  <c r="F12" i="3"/>
  <c r="B12" i="3"/>
  <c r="AJ12" i="3"/>
  <c r="AK12" i="3"/>
  <c r="AL12" i="3"/>
  <c r="AM12" i="3"/>
  <c r="AN12" i="3"/>
  <c r="AO12" i="3"/>
  <c r="AP12" i="3"/>
  <c r="AQ12" i="3"/>
  <c r="AR12" i="3"/>
  <c r="AS12" i="3"/>
  <c r="AT12" i="3"/>
  <c r="AU12" i="3"/>
  <c r="AV12" i="3"/>
  <c r="AW12" i="3"/>
  <c r="AX12" i="3"/>
  <c r="AY12" i="3"/>
  <c r="AZ12" i="3"/>
  <c r="BA12" i="3"/>
  <c r="BB12" i="3"/>
  <c r="BC12" i="3"/>
  <c r="BD12" i="3"/>
  <c r="B26" i="3"/>
  <c r="AX26" i="3"/>
  <c r="AY26" i="3"/>
  <c r="AZ26" i="3"/>
  <c r="BA26" i="3"/>
  <c r="BB26" i="3"/>
  <c r="BC26" i="3"/>
  <c r="BD26" i="3"/>
  <c r="F26" i="3"/>
  <c r="F16" i="3"/>
  <c r="B16" i="3"/>
  <c r="AN16" i="3"/>
  <c r="AO16" i="3"/>
  <c r="AP16" i="3"/>
  <c r="AQ16" i="3"/>
  <c r="AR16" i="3"/>
  <c r="AS16" i="3"/>
  <c r="AT16" i="3"/>
  <c r="AU16" i="3"/>
  <c r="AV16" i="3"/>
  <c r="AW16" i="3"/>
  <c r="AX16" i="3"/>
  <c r="AY16" i="3"/>
  <c r="AZ16" i="3"/>
  <c r="BA16" i="3"/>
  <c r="BB16" i="3"/>
  <c r="BC16" i="3"/>
  <c r="BD16" i="3"/>
  <c r="F11" i="3"/>
  <c r="B11" i="3"/>
  <c r="AI11" i="3"/>
  <c r="AJ11" i="3"/>
  <c r="AK11" i="3"/>
  <c r="AL11" i="3"/>
  <c r="AM11" i="3"/>
  <c r="AN11" i="3"/>
  <c r="AO11" i="3"/>
  <c r="AP11" i="3"/>
  <c r="AQ11" i="3"/>
  <c r="AR11" i="3"/>
  <c r="AS11" i="3"/>
  <c r="AT11" i="3"/>
  <c r="AU11" i="3"/>
  <c r="AV11" i="3"/>
  <c r="AW11" i="3"/>
  <c r="AX11" i="3"/>
  <c r="AY11" i="3"/>
  <c r="AZ11" i="3"/>
  <c r="BA11" i="3"/>
  <c r="BB11" i="3"/>
  <c r="BC11" i="3"/>
  <c r="BD11" i="3"/>
  <c r="AF3" i="3"/>
  <c r="C31" i="6"/>
  <c r="C34" i="6"/>
  <c r="Q5" i="3"/>
  <c r="R5" i="3"/>
  <c r="S5" i="3"/>
  <c r="K6" i="3"/>
  <c r="O5" i="3"/>
  <c r="P5" i="3"/>
  <c r="C33" i="6"/>
  <c r="G10" i="3"/>
  <c r="D24" i="6"/>
  <c r="D37" i="6"/>
  <c r="AB4" i="3"/>
  <c r="AC4" i="3"/>
  <c r="AD4" i="3"/>
  <c r="AE4" i="3"/>
  <c r="AF4" i="3"/>
  <c r="AG4" i="3"/>
  <c r="AH4" i="3"/>
  <c r="AI4" i="3"/>
  <c r="AJ4" i="3"/>
  <c r="AK4" i="3"/>
  <c r="AL4" i="3"/>
  <c r="AM4" i="3"/>
  <c r="AN4" i="3"/>
  <c r="AO4" i="3"/>
  <c r="AP4" i="3"/>
  <c r="AQ4" i="3"/>
  <c r="AR4" i="3"/>
  <c r="AS4" i="3"/>
  <c r="AT4" i="3"/>
  <c r="AU4" i="3"/>
  <c r="AV4" i="3"/>
  <c r="AW4" i="3"/>
  <c r="AX4" i="3"/>
  <c r="AY4" i="3"/>
  <c r="AZ4" i="3"/>
  <c r="BA4" i="3"/>
  <c r="BB4" i="3"/>
  <c r="BC4" i="3"/>
  <c r="BD4" i="3"/>
  <c r="C5" i="3"/>
  <c r="D5" i="3"/>
  <c r="V5" i="3"/>
  <c r="W5" i="3"/>
  <c r="C43" i="6"/>
  <c r="D4" i="3"/>
  <c r="V4" i="3"/>
  <c r="W4" i="3"/>
  <c r="B43" i="6"/>
  <c r="T4" i="3"/>
  <c r="Y4" i="3"/>
  <c r="AA34" i="3"/>
  <c r="B42" i="6"/>
  <c r="F4" i="6"/>
  <c r="E6" i="6"/>
  <c r="E7" i="6"/>
  <c r="E9" i="6"/>
  <c r="E19" i="6"/>
  <c r="E23" i="6"/>
  <c r="E14" i="6"/>
  <c r="E16" i="6"/>
  <c r="E18" i="6"/>
  <c r="C37" i="6"/>
  <c r="C24" i="6"/>
  <c r="B37" i="6"/>
  <c r="B24" i="6"/>
  <c r="AC5" i="3"/>
  <c r="AD5" i="3"/>
  <c r="J4" i="3"/>
  <c r="C20" i="6"/>
  <c r="G10" i="6"/>
  <c r="T5" i="3"/>
  <c r="Y5" i="3"/>
  <c r="AB5" i="3"/>
  <c r="AB34" i="3"/>
  <c r="C42" i="6"/>
  <c r="D27" i="6"/>
  <c r="D29" i="6"/>
  <c r="M6" i="3"/>
  <c r="AG3" i="3"/>
  <c r="C35" i="6"/>
  <c r="C32" i="6"/>
  <c r="G11" i="3"/>
  <c r="I10" i="3"/>
  <c r="J10" i="3"/>
  <c r="AE5" i="3"/>
  <c r="E24" i="6"/>
  <c r="E37" i="6"/>
  <c r="H10" i="6"/>
  <c r="D38" i="6"/>
  <c r="C6" i="3"/>
  <c r="C38" i="6"/>
  <c r="E38" i="6"/>
  <c r="F6" i="6"/>
  <c r="F14" i="6"/>
  <c r="F16" i="6"/>
  <c r="F18" i="6"/>
  <c r="F7" i="6"/>
  <c r="F9" i="6"/>
  <c r="F19" i="6"/>
  <c r="F23" i="6"/>
  <c r="G4" i="6"/>
  <c r="AF5" i="3"/>
  <c r="Q6" i="3"/>
  <c r="R6" i="3"/>
  <c r="S6" i="3"/>
  <c r="K7" i="3"/>
  <c r="O6" i="3"/>
  <c r="P6" i="3"/>
  <c r="D33" i="6"/>
  <c r="C39" i="6"/>
  <c r="D34" i="6"/>
  <c r="D20" i="6"/>
  <c r="D31" i="6"/>
  <c r="AH3" i="3"/>
  <c r="G12" i="3"/>
  <c r="I11" i="3"/>
  <c r="J11" i="3"/>
  <c r="F24" i="6"/>
  <c r="F37" i="6"/>
  <c r="I10" i="6"/>
  <c r="D6" i="3"/>
  <c r="C7" i="3"/>
  <c r="F38" i="6"/>
  <c r="G7" i="6"/>
  <c r="G9" i="6"/>
  <c r="G19" i="6"/>
  <c r="G23" i="6"/>
  <c r="H4" i="6"/>
  <c r="G6" i="6"/>
  <c r="G14" i="6"/>
  <c r="G16" i="6"/>
  <c r="G18" i="6"/>
  <c r="D35" i="6"/>
  <c r="D32" i="6"/>
  <c r="G13" i="3"/>
  <c r="I12" i="3"/>
  <c r="J12" i="3"/>
  <c r="AI3" i="3"/>
  <c r="T6" i="3"/>
  <c r="Y6" i="3"/>
  <c r="AC6" i="3"/>
  <c r="AC34" i="3"/>
  <c r="D42" i="6"/>
  <c r="V6" i="3"/>
  <c r="W6" i="3"/>
  <c r="D43" i="6"/>
  <c r="M7" i="3"/>
  <c r="E27" i="6"/>
  <c r="E29" i="6"/>
  <c r="AG5" i="3"/>
  <c r="J10" i="6"/>
  <c r="D7" i="3"/>
  <c r="C8" i="3"/>
  <c r="G24" i="6"/>
  <c r="G37" i="6"/>
  <c r="H7" i="6"/>
  <c r="H9" i="6"/>
  <c r="H19" i="6"/>
  <c r="H23" i="6"/>
  <c r="I4" i="6"/>
  <c r="H6" i="6"/>
  <c r="H14" i="6"/>
  <c r="H16" i="6"/>
  <c r="H18" i="6"/>
  <c r="AJ3" i="3"/>
  <c r="AH5" i="3"/>
  <c r="E31" i="6"/>
  <c r="E20" i="6"/>
  <c r="E34" i="6"/>
  <c r="G14" i="3"/>
  <c r="I13" i="3"/>
  <c r="J13" i="3"/>
  <c r="D39" i="6"/>
  <c r="O7" i="3"/>
  <c r="P7" i="3"/>
  <c r="E33" i="6"/>
  <c r="K8" i="3"/>
  <c r="Q7" i="3"/>
  <c r="R7" i="3"/>
  <c r="S7" i="3"/>
  <c r="H24" i="6"/>
  <c r="H37" i="6"/>
  <c r="D8" i="3"/>
  <c r="C9" i="3"/>
  <c r="I14" i="6"/>
  <c r="I16" i="6"/>
  <c r="I18" i="6"/>
  <c r="J4" i="6"/>
  <c r="I6" i="6"/>
  <c r="I7" i="6"/>
  <c r="I9" i="6"/>
  <c r="I19" i="6"/>
  <c r="I23" i="6"/>
  <c r="K10" i="6"/>
  <c r="AI5" i="3"/>
  <c r="M8" i="3"/>
  <c r="F27" i="6"/>
  <c r="F29" i="6"/>
  <c r="E32" i="6"/>
  <c r="E35" i="6"/>
  <c r="T7" i="3"/>
  <c r="Y7" i="3"/>
  <c r="AD7" i="3"/>
  <c r="AD34" i="3"/>
  <c r="E42" i="6"/>
  <c r="V7" i="3"/>
  <c r="W7" i="3"/>
  <c r="E43" i="6"/>
  <c r="G15" i="3"/>
  <c r="I14" i="3"/>
  <c r="J14" i="3"/>
  <c r="AK3" i="3"/>
  <c r="I24" i="6"/>
  <c r="I37" i="6"/>
  <c r="D9" i="3"/>
  <c r="C10" i="3"/>
  <c r="K4" i="6"/>
  <c r="J6" i="6"/>
  <c r="J7" i="6"/>
  <c r="J9" i="6"/>
  <c r="J14" i="6"/>
  <c r="J16" i="6"/>
  <c r="J18" i="6"/>
  <c r="AL3" i="3"/>
  <c r="E39" i="6"/>
  <c r="K9" i="3"/>
  <c r="M9" i="3"/>
  <c r="O8" i="3"/>
  <c r="P8" i="3"/>
  <c r="F33" i="6"/>
  <c r="Q8" i="3"/>
  <c r="R8" i="3"/>
  <c r="S8" i="3"/>
  <c r="G16" i="3"/>
  <c r="I15" i="3"/>
  <c r="J15" i="3"/>
  <c r="F20" i="6"/>
  <c r="F34" i="6"/>
  <c r="F31" i="6"/>
  <c r="AJ5" i="3"/>
  <c r="J19" i="6"/>
  <c r="J23" i="6"/>
  <c r="D10" i="3"/>
  <c r="C11" i="3"/>
  <c r="K6" i="6"/>
  <c r="K7" i="6"/>
  <c r="K9" i="6"/>
  <c r="K19" i="6"/>
  <c r="K23" i="6"/>
  <c r="K14" i="6"/>
  <c r="K16" i="6"/>
  <c r="K18" i="6"/>
  <c r="F32" i="6"/>
  <c r="F35" i="6"/>
  <c r="G17" i="3"/>
  <c r="I16" i="3"/>
  <c r="J16" i="3"/>
  <c r="T8" i="3"/>
  <c r="Y8" i="3"/>
  <c r="AE8" i="3"/>
  <c r="AE34" i="3"/>
  <c r="F42" i="6"/>
  <c r="V8" i="3"/>
  <c r="W8" i="3"/>
  <c r="F43" i="6"/>
  <c r="Q9" i="3"/>
  <c r="R9" i="3"/>
  <c r="S9" i="3"/>
  <c r="K10" i="3"/>
  <c r="M10" i="3"/>
  <c r="O9" i="3"/>
  <c r="P9" i="3"/>
  <c r="AK5" i="3"/>
  <c r="AM3" i="3"/>
  <c r="K24" i="6"/>
  <c r="K37" i="6"/>
  <c r="C12" i="3"/>
  <c r="D11" i="3"/>
  <c r="J37" i="6"/>
  <c r="J24" i="6"/>
  <c r="T9" i="3"/>
  <c r="Y9" i="3"/>
  <c r="AF9" i="3"/>
  <c r="AF34" i="3"/>
  <c r="V9" i="3"/>
  <c r="W9" i="3"/>
  <c r="AL5" i="3"/>
  <c r="AN3" i="3"/>
  <c r="F39" i="6"/>
  <c r="G18" i="3"/>
  <c r="I17" i="3"/>
  <c r="J17" i="3"/>
  <c r="O10" i="3"/>
  <c r="P10" i="3"/>
  <c r="K11" i="3"/>
  <c r="M11" i="3"/>
  <c r="Q10" i="3"/>
  <c r="R10" i="3"/>
  <c r="S10" i="3"/>
  <c r="C13" i="3"/>
  <c r="D12" i="3"/>
  <c r="AM5" i="3"/>
  <c r="Y10" i="3"/>
  <c r="AG10" i="3"/>
  <c r="AG34" i="3"/>
  <c r="T10" i="3"/>
  <c r="V10" i="3"/>
  <c r="W10" i="3"/>
  <c r="G19" i="3"/>
  <c r="I18" i="3"/>
  <c r="J18" i="3"/>
  <c r="K12" i="3"/>
  <c r="M12" i="3"/>
  <c r="Q11" i="3"/>
  <c r="R11" i="3"/>
  <c r="S11" i="3"/>
  <c r="O11" i="3"/>
  <c r="P11" i="3"/>
  <c r="AO3" i="3"/>
  <c r="G38" i="6"/>
  <c r="D13" i="3"/>
  <c r="C14" i="3"/>
  <c r="G20" i="3"/>
  <c r="I19" i="3"/>
  <c r="J19" i="3"/>
  <c r="AN5" i="3"/>
  <c r="AP3" i="3"/>
  <c r="Q12" i="3"/>
  <c r="R12" i="3"/>
  <c r="S12" i="3"/>
  <c r="K13" i="3"/>
  <c r="O12" i="3"/>
  <c r="P12" i="3"/>
  <c r="T11" i="3"/>
  <c r="Y11" i="3"/>
  <c r="AH11" i="3"/>
  <c r="AH34" i="3"/>
  <c r="V11" i="3"/>
  <c r="W11" i="3"/>
  <c r="C15" i="3"/>
  <c r="D14" i="3"/>
  <c r="T12" i="3"/>
  <c r="Y12" i="3"/>
  <c r="AI12" i="3"/>
  <c r="AI34" i="3"/>
  <c r="V12" i="3"/>
  <c r="W12" i="3"/>
  <c r="M13" i="3"/>
  <c r="G27" i="6"/>
  <c r="G29" i="6"/>
  <c r="AO5" i="3"/>
  <c r="AQ3" i="3"/>
  <c r="G21" i="3"/>
  <c r="I20" i="3"/>
  <c r="J20" i="3"/>
  <c r="C16" i="3"/>
  <c r="D15" i="3"/>
  <c r="O13" i="3"/>
  <c r="P13" i="3"/>
  <c r="G33" i="6"/>
  <c r="K14" i="3"/>
  <c r="M14" i="3"/>
  <c r="Q13" i="3"/>
  <c r="R13" i="3"/>
  <c r="S13" i="3"/>
  <c r="AR3" i="3"/>
  <c r="G22" i="3"/>
  <c r="I21" i="3"/>
  <c r="J21" i="3"/>
  <c r="AP5" i="3"/>
  <c r="G34" i="6"/>
  <c r="G20" i="6"/>
  <c r="G31" i="6"/>
  <c r="D16" i="3"/>
  <c r="C17" i="3"/>
  <c r="T13" i="3"/>
  <c r="Y13" i="3"/>
  <c r="AJ13" i="3"/>
  <c r="AJ34" i="3"/>
  <c r="G42" i="6"/>
  <c r="V13" i="3"/>
  <c r="W13" i="3"/>
  <c r="G43" i="6"/>
  <c r="Q14" i="3"/>
  <c r="R14" i="3"/>
  <c r="S14" i="3"/>
  <c r="O14" i="3"/>
  <c r="P14" i="3"/>
  <c r="K15" i="3"/>
  <c r="M15" i="3"/>
  <c r="AS3" i="3"/>
  <c r="G23" i="3"/>
  <c r="I22" i="3"/>
  <c r="J22" i="3"/>
  <c r="G32" i="6"/>
  <c r="G35" i="6"/>
  <c r="G39" i="6"/>
  <c r="AQ5" i="3"/>
  <c r="C18" i="3"/>
  <c r="D17" i="3"/>
  <c r="Y14" i="3"/>
  <c r="AK14" i="3"/>
  <c r="AK34" i="3"/>
  <c r="T14" i="3"/>
  <c r="V14" i="3"/>
  <c r="W14" i="3"/>
  <c r="G24" i="3"/>
  <c r="I23" i="3"/>
  <c r="J23" i="3"/>
  <c r="AT3" i="3"/>
  <c r="K16" i="3"/>
  <c r="M16" i="3"/>
  <c r="Q15" i="3"/>
  <c r="R15" i="3"/>
  <c r="S15" i="3"/>
  <c r="O15" i="3"/>
  <c r="P15" i="3"/>
  <c r="AR5" i="3"/>
  <c r="D18" i="3"/>
  <c r="C19" i="3"/>
  <c r="H38" i="6"/>
  <c r="G25" i="3"/>
  <c r="I24" i="3"/>
  <c r="J24" i="3"/>
  <c r="AS5" i="3"/>
  <c r="Y15" i="3"/>
  <c r="AL15" i="3"/>
  <c r="AL34" i="3"/>
  <c r="T15" i="3"/>
  <c r="V15" i="3"/>
  <c r="W15" i="3"/>
  <c r="AU3" i="3"/>
  <c r="O16" i="3"/>
  <c r="P16" i="3"/>
  <c r="Q16" i="3"/>
  <c r="R16" i="3"/>
  <c r="S16" i="3"/>
  <c r="K17" i="3"/>
  <c r="M17" i="3"/>
  <c r="C20" i="3"/>
  <c r="D19" i="3"/>
  <c r="Q17" i="3"/>
  <c r="R17" i="3"/>
  <c r="S17" i="3"/>
  <c r="O17" i="3"/>
  <c r="P17" i="3"/>
  <c r="K18" i="3"/>
  <c r="AV3" i="3"/>
  <c r="Y16" i="3"/>
  <c r="AM16" i="3"/>
  <c r="AM34" i="3"/>
  <c r="T16" i="3"/>
  <c r="V16" i="3"/>
  <c r="W16" i="3"/>
  <c r="AT5" i="3"/>
  <c r="G26" i="3"/>
  <c r="I25" i="3"/>
  <c r="J25" i="3"/>
  <c r="D20" i="3"/>
  <c r="C21" i="3"/>
  <c r="M18" i="3"/>
  <c r="H27" i="6"/>
  <c r="H29" i="6"/>
  <c r="G27" i="3"/>
  <c r="I26" i="3"/>
  <c r="J26" i="3"/>
  <c r="AW3" i="3"/>
  <c r="T17" i="3"/>
  <c r="Y17" i="3"/>
  <c r="AN17" i="3"/>
  <c r="AN34" i="3"/>
  <c r="V17" i="3"/>
  <c r="W17" i="3"/>
  <c r="AU5" i="3"/>
  <c r="C22" i="3"/>
  <c r="D21" i="3"/>
  <c r="H31" i="6"/>
  <c r="H34" i="6"/>
  <c r="H20" i="6"/>
  <c r="AV5" i="3"/>
  <c r="G28" i="3"/>
  <c r="I27" i="3"/>
  <c r="J27" i="3"/>
  <c r="AX3" i="3"/>
  <c r="K19" i="3"/>
  <c r="M19" i="3"/>
  <c r="O18" i="3"/>
  <c r="P18" i="3"/>
  <c r="H33" i="6"/>
  <c r="Q18" i="3"/>
  <c r="R18" i="3"/>
  <c r="S18" i="3"/>
  <c r="C23" i="3"/>
  <c r="D22" i="3"/>
  <c r="AW5" i="3"/>
  <c r="T18" i="3"/>
  <c r="Y18" i="3"/>
  <c r="AO18" i="3"/>
  <c r="AO34" i="3"/>
  <c r="H42" i="6"/>
  <c r="V18" i="3"/>
  <c r="W18" i="3"/>
  <c r="H43" i="6"/>
  <c r="AY3" i="3"/>
  <c r="H35" i="6"/>
  <c r="H39" i="6"/>
  <c r="H32" i="6"/>
  <c r="K20" i="3"/>
  <c r="M20" i="3"/>
  <c r="Q19" i="3"/>
  <c r="R19" i="3"/>
  <c r="S19" i="3"/>
  <c r="O19" i="3"/>
  <c r="P19" i="3"/>
  <c r="G29" i="3"/>
  <c r="I28" i="3"/>
  <c r="J28" i="3"/>
  <c r="D23" i="3"/>
  <c r="C24" i="3"/>
  <c r="I38" i="6"/>
  <c r="T19" i="3"/>
  <c r="Y19" i="3"/>
  <c r="AP19" i="3"/>
  <c r="AP34" i="3"/>
  <c r="V19" i="3"/>
  <c r="W19" i="3"/>
  <c r="G30" i="3"/>
  <c r="I29" i="3"/>
  <c r="J29" i="3"/>
  <c r="Q20" i="3"/>
  <c r="R20" i="3"/>
  <c r="S20" i="3"/>
  <c r="O20" i="3"/>
  <c r="P20" i="3"/>
  <c r="K21" i="3"/>
  <c r="M21" i="3"/>
  <c r="AZ3" i="3"/>
  <c r="AX5" i="3"/>
  <c r="C25" i="3"/>
  <c r="D24" i="3"/>
  <c r="T20" i="3"/>
  <c r="Y20" i="3"/>
  <c r="AQ20" i="3"/>
  <c r="AQ34" i="3"/>
  <c r="V20" i="3"/>
  <c r="W20" i="3"/>
  <c r="G31" i="3"/>
  <c r="I30" i="3"/>
  <c r="J30" i="3"/>
  <c r="AY5" i="3"/>
  <c r="BA3" i="3"/>
  <c r="Q21" i="3"/>
  <c r="R21" i="3"/>
  <c r="S21" i="3"/>
  <c r="O21" i="3"/>
  <c r="P21" i="3"/>
  <c r="K22" i="3"/>
  <c r="M22" i="3"/>
  <c r="D25" i="3"/>
  <c r="C26" i="3"/>
  <c r="BB3" i="3"/>
  <c r="O22" i="3"/>
  <c r="P22" i="3"/>
  <c r="Q22" i="3"/>
  <c r="R22" i="3"/>
  <c r="S22" i="3"/>
  <c r="K23" i="3"/>
  <c r="G32" i="3"/>
  <c r="I31" i="3"/>
  <c r="J31" i="3"/>
  <c r="T21" i="3"/>
  <c r="Y21" i="3"/>
  <c r="AR21" i="3"/>
  <c r="AR34" i="3"/>
  <c r="V21" i="3"/>
  <c r="W21" i="3"/>
  <c r="AZ5" i="3"/>
  <c r="D26" i="3"/>
  <c r="C27" i="3"/>
  <c r="T22" i="3"/>
  <c r="Y22" i="3"/>
  <c r="AS22" i="3"/>
  <c r="AS34" i="3"/>
  <c r="V22" i="3"/>
  <c r="W22" i="3"/>
  <c r="BC3" i="3"/>
  <c r="M23" i="3"/>
  <c r="I27" i="6"/>
  <c r="I29" i="6"/>
  <c r="G33" i="3"/>
  <c r="I33" i="3"/>
  <c r="J33" i="3"/>
  <c r="I32" i="3"/>
  <c r="J32" i="3"/>
  <c r="BA5" i="3"/>
  <c r="D27" i="3"/>
  <c r="C28" i="3"/>
  <c r="BD3" i="3"/>
  <c r="I20" i="6"/>
  <c r="I34" i="6"/>
  <c r="I31" i="6"/>
  <c r="K24" i="3"/>
  <c r="M24" i="3"/>
  <c r="O23" i="3"/>
  <c r="P23" i="3"/>
  <c r="I33" i="6"/>
  <c r="Q23" i="3"/>
  <c r="R23" i="3"/>
  <c r="S23" i="3"/>
  <c r="BB5" i="3"/>
  <c r="J38" i="6"/>
  <c r="C29" i="3"/>
  <c r="D28" i="3"/>
  <c r="Y23" i="3"/>
  <c r="AT23" i="3"/>
  <c r="AT34" i="3"/>
  <c r="I42" i="6"/>
  <c r="T23" i="3"/>
  <c r="V23" i="3"/>
  <c r="W23" i="3"/>
  <c r="I43" i="6"/>
  <c r="BC5" i="3"/>
  <c r="K25" i="3"/>
  <c r="M25" i="3"/>
  <c r="Q24" i="3"/>
  <c r="O24" i="3"/>
  <c r="P24" i="3"/>
  <c r="R24" i="3"/>
  <c r="S24" i="3"/>
  <c r="I32" i="6"/>
  <c r="I35" i="6"/>
  <c r="I39" i="6"/>
  <c r="C30" i="3"/>
  <c r="D29" i="3"/>
  <c r="Y24" i="3"/>
  <c r="AU24" i="3"/>
  <c r="AU34" i="3"/>
  <c r="T24" i="3"/>
  <c r="V24" i="3"/>
  <c r="W24" i="3"/>
  <c r="BD5" i="3"/>
  <c r="O25" i="3"/>
  <c r="P25" i="3"/>
  <c r="Q25" i="3"/>
  <c r="R25" i="3"/>
  <c r="S25" i="3"/>
  <c r="K26" i="3"/>
  <c r="M26" i="3"/>
  <c r="C31" i="3"/>
  <c r="D30" i="3"/>
  <c r="T25" i="3"/>
  <c r="Y25" i="3"/>
  <c r="AV25" i="3"/>
  <c r="AV34" i="3"/>
  <c r="V25" i="3"/>
  <c r="W25" i="3"/>
  <c r="O26" i="3"/>
  <c r="P26" i="3"/>
  <c r="Q26" i="3"/>
  <c r="R26" i="3"/>
  <c r="S26" i="3"/>
  <c r="K27" i="3"/>
  <c r="M27" i="3"/>
  <c r="D31" i="3"/>
  <c r="C32" i="3"/>
  <c r="Y26" i="3"/>
  <c r="AW26" i="3"/>
  <c r="AW34" i="3"/>
  <c r="T26" i="3"/>
  <c r="V26" i="3"/>
  <c r="W26" i="3"/>
  <c r="Q27" i="3"/>
  <c r="R27" i="3"/>
  <c r="S27" i="3"/>
  <c r="K28" i="3"/>
  <c r="O27" i="3"/>
  <c r="P27" i="3"/>
  <c r="C33" i="3"/>
  <c r="D32" i="3"/>
  <c r="T27" i="3"/>
  <c r="Y27" i="3"/>
  <c r="AX27" i="3"/>
  <c r="AX34" i="3"/>
  <c r="V27" i="3"/>
  <c r="W27" i="3"/>
  <c r="J27" i="6"/>
  <c r="J29" i="6"/>
  <c r="M28" i="3"/>
  <c r="K38" i="6"/>
  <c r="D33" i="3"/>
  <c r="J31" i="6"/>
  <c r="J34" i="6"/>
  <c r="J20" i="6"/>
  <c r="K29" i="3"/>
  <c r="M29" i="3"/>
  <c r="O28" i="3"/>
  <c r="P28" i="3"/>
  <c r="J33" i="6"/>
  <c r="Q28" i="3"/>
  <c r="R28" i="3"/>
  <c r="S28" i="3"/>
  <c r="K30" i="3"/>
  <c r="M30" i="3"/>
  <c r="Q29" i="3"/>
  <c r="R29" i="3"/>
  <c r="S29" i="3"/>
  <c r="O29" i="3"/>
  <c r="P29" i="3"/>
  <c r="T28" i="3"/>
  <c r="Y28" i="3"/>
  <c r="AY28" i="3"/>
  <c r="AY34" i="3"/>
  <c r="J42" i="6"/>
  <c r="V28" i="3"/>
  <c r="W28" i="3"/>
  <c r="J43" i="6"/>
  <c r="J32" i="6"/>
  <c r="J35" i="6"/>
  <c r="J39" i="6"/>
  <c r="Y29" i="3"/>
  <c r="AZ29" i="3"/>
  <c r="AZ34" i="3"/>
  <c r="T29" i="3"/>
  <c r="V29" i="3"/>
  <c r="W29" i="3"/>
  <c r="O30" i="3"/>
  <c r="P30" i="3"/>
  <c r="Q30" i="3"/>
  <c r="R30" i="3"/>
  <c r="S30" i="3"/>
  <c r="K31" i="3"/>
  <c r="M31" i="3"/>
  <c r="Y30" i="3"/>
  <c r="BA30" i="3"/>
  <c r="BA34" i="3"/>
  <c r="T30" i="3"/>
  <c r="V30" i="3"/>
  <c r="W30" i="3"/>
  <c r="R31" i="3"/>
  <c r="S31" i="3"/>
  <c r="O31" i="3"/>
  <c r="P31" i="3"/>
  <c r="Q31" i="3"/>
  <c r="K32" i="3"/>
  <c r="M32" i="3"/>
  <c r="T31" i="3"/>
  <c r="Y31" i="3"/>
  <c r="BB31" i="3"/>
  <c r="BB34" i="3"/>
  <c r="V31" i="3"/>
  <c r="W31" i="3"/>
  <c r="Q32" i="3"/>
  <c r="R32" i="3"/>
  <c r="S32" i="3"/>
  <c r="O32" i="3"/>
  <c r="P32" i="3"/>
  <c r="K33" i="3"/>
  <c r="T32" i="3"/>
  <c r="Y32" i="3"/>
  <c r="BC32" i="3"/>
  <c r="BC34" i="3"/>
  <c r="V32" i="3"/>
  <c r="W32" i="3"/>
  <c r="K27" i="6"/>
  <c r="K29" i="6"/>
  <c r="M33" i="3"/>
  <c r="K31" i="6"/>
  <c r="K20" i="6"/>
  <c r="K34" i="6"/>
  <c r="Q33" i="3"/>
  <c r="R33" i="3"/>
  <c r="S33" i="3"/>
  <c r="O33" i="3"/>
  <c r="P33" i="3"/>
  <c r="K33" i="6"/>
  <c r="T33" i="3"/>
  <c r="Y33" i="3"/>
  <c r="BD33" i="3"/>
  <c r="BD34" i="3"/>
  <c r="K42" i="6"/>
  <c r="V33" i="3"/>
  <c r="W33" i="3"/>
  <c r="K43" i="6"/>
  <c r="K32" i="6"/>
  <c r="K35" i="6"/>
  <c r="K39" i="6"/>
</calcChain>
</file>

<file path=xl/sharedStrings.xml><?xml version="1.0" encoding="utf-8"?>
<sst xmlns="http://schemas.openxmlformats.org/spreadsheetml/2006/main" count="228" uniqueCount="194">
  <si>
    <t>Sq.Ft.</t>
  </si>
  <si>
    <t>Other Income</t>
  </si>
  <si>
    <t xml:space="preserve"> </t>
  </si>
  <si>
    <t>Gardening</t>
  </si>
  <si>
    <t>Pool</t>
  </si>
  <si>
    <t>Licenses &amp; Fees</t>
  </si>
  <si>
    <t>Pest Control</t>
  </si>
  <si>
    <t>Purchase Price</t>
  </si>
  <si>
    <t>Annual Operating Expense Summary:</t>
  </si>
  <si>
    <t>Total Annual Operating Expenses</t>
  </si>
  <si>
    <t>MLS or Seller's Data</t>
  </si>
  <si>
    <t>Actual Rent</t>
  </si>
  <si>
    <t>Information Provided by Paul Cooney</t>
  </si>
  <si>
    <t>Onsite Mgmt = 8% of Gross Rents under 20 units and 6% over 20</t>
  </si>
  <si>
    <t>Electricity = $30 to $50 per month for common areas</t>
  </si>
  <si>
    <t>Trash Removal = $60 to $100 per month x12</t>
  </si>
  <si>
    <t xml:space="preserve">Water/sewer </t>
  </si>
  <si>
    <t>Year</t>
  </si>
  <si>
    <t>Loan Balance</t>
  </si>
  <si>
    <t>Selling Cost</t>
  </si>
  <si>
    <t>Down Payment</t>
  </si>
  <si>
    <t>Annual Cash Flow</t>
  </si>
  <si>
    <t>Other</t>
  </si>
  <si>
    <t>Living SQFT:</t>
  </si>
  <si>
    <t>***</t>
  </si>
  <si>
    <t xml:space="preserve">Vacancy Factor = </t>
  </si>
  <si>
    <t>Gross Rental Income</t>
  </si>
  <si>
    <t>Cash Flow Before Taxes</t>
  </si>
  <si>
    <t>Loan Information</t>
  </si>
  <si>
    <t>Assumptions</t>
  </si>
  <si>
    <t>Rental Growth Rate</t>
  </si>
  <si>
    <t>Expense Growth Rate</t>
  </si>
  <si>
    <t>Vacancies</t>
  </si>
  <si>
    <t>Operating Expenses</t>
  </si>
  <si>
    <t xml:space="preserve">Net Operating Income </t>
  </si>
  <si>
    <t>Cash Flow Per Month</t>
  </si>
  <si>
    <t>Projected Resale</t>
  </si>
  <si>
    <t xml:space="preserve">Cap Rate (Resale) </t>
  </si>
  <si>
    <t>NOI</t>
  </si>
  <si>
    <t>Sale Proceeds</t>
  </si>
  <si>
    <t>Cash Purchase</t>
  </si>
  <si>
    <t>Initial Investment</t>
  </si>
  <si>
    <t>Type of Resale Analysis</t>
  </si>
  <si>
    <t>Appreciation Rate</t>
  </si>
  <si>
    <t>Replacement Reserves</t>
  </si>
  <si>
    <t>Lease Commission Fees</t>
  </si>
  <si>
    <t>Cash on Cash Return</t>
  </si>
  <si>
    <t>*</t>
  </si>
  <si>
    <t>**</t>
  </si>
  <si>
    <t>****</t>
  </si>
  <si>
    <t>*****</t>
  </si>
  <si>
    <t>Loan Servicing = P+I</t>
  </si>
  <si>
    <t>Cell/Text: (310)755-8843 or Email @ Paul@BestCallPaul.com</t>
  </si>
  <si>
    <t>Sales Cost</t>
  </si>
  <si>
    <t xml:space="preserve"> Gross Monthly Rental Income</t>
  </si>
  <si>
    <t>Input Data into Gray Boxes</t>
  </si>
  <si>
    <t>Proforma Rent</t>
  </si>
  <si>
    <t>IRR =</t>
  </si>
  <si>
    <t>Sale Proceeds +Cash Flow</t>
  </si>
  <si>
    <r>
      <rPr>
        <b/>
        <sz val="12"/>
        <rFont val="Arial"/>
        <family val="2"/>
      </rPr>
      <t>Capitalization</t>
    </r>
    <r>
      <rPr>
        <sz val="12"/>
        <rFont val="Arial"/>
        <family val="2"/>
      </rPr>
      <t xml:space="preserve"> </t>
    </r>
    <r>
      <rPr>
        <b/>
        <sz val="12"/>
        <rFont val="Arial"/>
        <family val="2"/>
      </rPr>
      <t>Rate (Cap Rate)</t>
    </r>
    <r>
      <rPr>
        <sz val="12"/>
        <rFont val="Arial"/>
        <family val="2"/>
      </rPr>
      <t xml:space="preserve"> is the net operating income (NOI) divided by either the property’s contract purchase price or its fair market value.</t>
    </r>
  </si>
  <si>
    <t>Annual Gross Operating Income (GOI)</t>
  </si>
  <si>
    <t>Assume 100% occupied, therefore input current market value for vacant units.</t>
  </si>
  <si>
    <r>
      <rPr>
        <b/>
        <sz val="12"/>
        <rFont val="Arial"/>
        <family val="2"/>
      </rPr>
      <t>Net Operating Income (NOI)</t>
    </r>
    <r>
      <rPr>
        <sz val="12"/>
        <rFont val="Arial"/>
        <family val="2"/>
      </rPr>
      <t xml:space="preserve"> is a property’s gross operating income reduced by operating expenses.  </t>
    </r>
  </si>
  <si>
    <r>
      <rPr>
        <b/>
        <sz val="12"/>
        <rFont val="Arial"/>
        <family val="2"/>
      </rPr>
      <t>Replacement Reserves</t>
    </r>
    <r>
      <rPr>
        <sz val="12"/>
        <rFont val="Arial"/>
        <family val="2"/>
      </rPr>
      <t xml:space="preserve"> is money set aside for major repairs needed in the future, such as Roof, HVAC, Water Heater, Exterior Paint, etc.</t>
    </r>
  </si>
  <si>
    <r>
      <rPr>
        <b/>
        <sz val="12"/>
        <rFont val="Arial"/>
        <family val="2"/>
      </rPr>
      <t>Potential Gross Income</t>
    </r>
    <r>
      <rPr>
        <sz val="12"/>
        <rFont val="Arial"/>
        <family val="2"/>
      </rPr>
      <t xml:space="preserve"> is the total rent a property could generate if 100% leased at market rent.</t>
    </r>
  </si>
  <si>
    <t>Net Operating Income (GOI - Total Operating Expenses)</t>
  </si>
  <si>
    <t>Property Address:</t>
  </si>
  <si>
    <t>Gas = $100 per unit/month if owners pay</t>
  </si>
  <si>
    <r>
      <rPr>
        <b/>
        <sz val="12"/>
        <rFont val="Arial"/>
        <family val="2"/>
      </rPr>
      <t>Cash-on-Cash Return</t>
    </r>
    <r>
      <rPr>
        <sz val="12"/>
        <rFont val="Arial"/>
        <family val="2"/>
      </rPr>
      <t xml:space="preserve"> is the net cash flow divided by the initial investment. The calculation does not take into account the time value of money or change in the property’s equity.</t>
    </r>
  </si>
  <si>
    <t>The Projected Resale is the estimated value of property after all repairs. Best to be conservative on this value.</t>
  </si>
  <si>
    <r>
      <rPr>
        <b/>
        <sz val="12"/>
        <rFont val="Arial"/>
        <family val="2"/>
      </rPr>
      <t xml:space="preserve">Modified Internal Rate-of-Return (MIRR) </t>
    </r>
    <r>
      <rPr>
        <sz val="12"/>
        <rFont val="Arial"/>
        <family val="2"/>
      </rPr>
      <t>modifies the IRR to avoid the drawbacks of the traditional IRR. The IRR implicitly assumes that all cash flow is either reinvested or discounted at the computed IRR rate. In realty, a property's cash flow probably will not be reinvested at the computed IRR rate, but rather earn zero or a small amount of interest. The MIRR eliminates the reinvestment assumption by utilizing user stipulation reinvestment and borrowing rates.</t>
    </r>
  </si>
  <si>
    <t>Improvements</t>
  </si>
  <si>
    <t>MIRR</t>
  </si>
  <si>
    <t>Insurance</t>
  </si>
  <si>
    <t>Homeowner Association</t>
  </si>
  <si>
    <t>INCOME ANALYSIS</t>
  </si>
  <si>
    <t>Less Vacancy Allowance</t>
  </si>
  <si>
    <t>Gross Operating Income</t>
  </si>
  <si>
    <t>Property Taxes</t>
  </si>
  <si>
    <t>Utilities</t>
  </si>
  <si>
    <t>Total Operating Expenses</t>
  </si>
  <si>
    <t>Less Mortgage Balance</t>
  </si>
  <si>
    <t>Total Equity (%)</t>
  </si>
  <si>
    <t>YEAR 1</t>
  </si>
  <si>
    <t>YEAR 2</t>
  </si>
  <si>
    <t>YEAR 3</t>
  </si>
  <si>
    <t>YEAR 4</t>
  </si>
  <si>
    <t>YEAR 5</t>
  </si>
  <si>
    <t xml:space="preserve">YEAR 10 </t>
  </si>
  <si>
    <t>YEAR 15</t>
  </si>
  <si>
    <t>YEAR 20</t>
  </si>
  <si>
    <t>YEAR 25</t>
  </si>
  <si>
    <t>YEAR 30</t>
  </si>
  <si>
    <t>Less Mortgage Expense = Principle+ Interest</t>
  </si>
  <si>
    <t>Cumulative Cash Flow</t>
  </si>
  <si>
    <t>Cash Generated at Sale</t>
  </si>
  <si>
    <t xml:space="preserve">  </t>
  </si>
  <si>
    <t>All other Expenses</t>
  </si>
  <si>
    <t>Closing Cost</t>
  </si>
  <si>
    <t xml:space="preserve">Loan Cost  </t>
  </si>
  <si>
    <t>Loan Cost         %</t>
  </si>
  <si>
    <t>Down Payment  %</t>
  </si>
  <si>
    <t>Finance Years</t>
  </si>
  <si>
    <t>Interest Rate     %</t>
  </si>
  <si>
    <t>Property Management + Lease Commission</t>
  </si>
  <si>
    <t>Gross Potential Rental Income</t>
  </si>
  <si>
    <t xml:space="preserve">The Cap Rate is the most widely used in Residential Income Property to evaluate a Projected Resale Price.  </t>
  </si>
  <si>
    <t>The higher the Cap Rate the more desirable your property is to a buyer.</t>
  </si>
  <si>
    <t>The Appreciation Rate is most commonly used in Residential Real Estate (Houses, Condos/Townhomes).</t>
  </si>
  <si>
    <t>The Replacement Reserve is a fund used for major repairs needed in the future, such as Roof, HVAC, Exterior Paint, etc.</t>
  </si>
  <si>
    <t>www.BestCallPaul.com to view Testimonials &amp; receive a Free Market Update Report keeping you informed of local market trends.</t>
  </si>
  <si>
    <t>The Rental Growth Rate is critical to an investor's success because it affects both Cash Flow &amp; Projected Resale Price.</t>
  </si>
  <si>
    <t>This in return influences the two predictors of an income property's success (Cash-on-Cash Return &amp; Annual ROI).</t>
  </si>
  <si>
    <r>
      <t xml:space="preserve">I have devised a formula to calculate this expense based on number of units. </t>
    </r>
    <r>
      <rPr>
        <b/>
        <u/>
        <sz val="9"/>
        <color indexed="8"/>
        <rFont val="Arial"/>
        <family val="2"/>
      </rPr>
      <t>Please be sure to enter correct No. of units.</t>
    </r>
  </si>
  <si>
    <t>All calculations are believed to be accurate but not guaranteed. Please seek proper legal &amp; tax advise before making investment.</t>
  </si>
  <si>
    <t>Modified Internal Rate-of-Return (MIRR)</t>
  </si>
  <si>
    <t>Internal Rate-of-Return (IRR)</t>
  </si>
  <si>
    <t>Cap Rate</t>
  </si>
  <si>
    <t>Capitalization (Cap) Rate</t>
  </si>
  <si>
    <t>Projected Resale Value</t>
  </si>
  <si>
    <t>Less Selling Expenses</t>
  </si>
  <si>
    <t>Lot Size SQFT:</t>
  </si>
  <si>
    <t>Cash Flow Generated in Current Year</t>
  </si>
  <si>
    <t>Cash Flow Current Year</t>
  </si>
  <si>
    <t>Cumulitive CF Previous Year</t>
  </si>
  <si>
    <r>
      <t xml:space="preserve">SALE PROCEEDS- </t>
    </r>
    <r>
      <rPr>
        <sz val="10"/>
        <rFont val="Arial"/>
        <family val="2"/>
      </rPr>
      <t>Before Taxes</t>
    </r>
  </si>
  <si>
    <r>
      <t xml:space="preserve">CASH FLOW- </t>
    </r>
    <r>
      <rPr>
        <sz val="10"/>
        <rFont val="Arial"/>
        <family val="2"/>
      </rPr>
      <t>Before Taxes</t>
    </r>
  </si>
  <si>
    <r>
      <t>TOTAL EQUITY-</t>
    </r>
    <r>
      <rPr>
        <sz val="10"/>
        <rFont val="Arial"/>
        <family val="2"/>
      </rPr>
      <t xml:space="preserve"> Before Selling</t>
    </r>
  </si>
  <si>
    <t>Cash-Cash on Equity</t>
  </si>
  <si>
    <t>Maintenance/Repairs</t>
  </si>
  <si>
    <t>Home Owner Association</t>
  </si>
  <si>
    <r>
      <t xml:space="preserve">Cash-on-Cash Return- </t>
    </r>
    <r>
      <rPr>
        <sz val="10"/>
        <rFont val="Arial"/>
        <family val="2"/>
      </rPr>
      <t>Before Taxes</t>
    </r>
  </si>
  <si>
    <r>
      <t xml:space="preserve">                                                      TERMS &amp; DEFINITIONS                                     </t>
    </r>
    <r>
      <rPr>
        <b/>
        <sz val="10"/>
        <color indexed="9"/>
        <rFont val="Arial"/>
        <family val="2"/>
      </rPr>
      <t>Page 3 of 3</t>
    </r>
  </si>
  <si>
    <r>
      <t xml:space="preserve">Gross Operating Income (GOI) </t>
    </r>
    <r>
      <rPr>
        <sz val="12"/>
        <rFont val="Arial"/>
        <family val="2"/>
      </rPr>
      <t>is the Potential Gross Rental Income plus other income minus vacancy and collection loss.</t>
    </r>
  </si>
  <si>
    <r>
      <rPr>
        <b/>
        <sz val="12"/>
        <rFont val="Arial"/>
        <family val="2"/>
      </rPr>
      <t>Cash Flow</t>
    </r>
    <r>
      <rPr>
        <sz val="12"/>
        <rFont val="Arial"/>
        <family val="2"/>
      </rPr>
      <t xml:space="preserve"> is how much cash enters your pocket every month. (Total Revenue - Total Expenses) / Months</t>
    </r>
  </si>
  <si>
    <r>
      <rPr>
        <b/>
        <sz val="12"/>
        <rFont val="Arial"/>
        <family val="2"/>
      </rPr>
      <t>Operating Expenses</t>
    </r>
    <r>
      <rPr>
        <sz val="12"/>
        <rFont val="Arial"/>
        <family val="2"/>
      </rPr>
      <t xml:space="preserve"> include costs associated with the operation and maintenance of an income producing property. It does not include the debt servicing of a potential loan, income taxes, mortgage insurance premium (MIP) payments and sometimes funded reserves.   </t>
    </r>
  </si>
  <si>
    <r>
      <rPr>
        <b/>
        <sz val="12"/>
        <rFont val="Arial"/>
        <family val="2"/>
      </rPr>
      <t xml:space="preserve">Internal Rate-of-Return (IRR) </t>
    </r>
    <r>
      <rPr>
        <sz val="12"/>
        <rFont val="Arial"/>
        <family val="2"/>
      </rPr>
      <t>is the most widely used method of valuing a property's annual cash flow stream. Since a property cash flow is earned in the future, those future dollars must be converted to present day dollars. The IRR calculation discounts (reduces) the property's future cash flow at a rate so that the sum of all cash flow for a specified time period is equal to the initial investment.</t>
    </r>
  </si>
  <si>
    <t>Proforma Expenses to be Recaluated</t>
  </si>
  <si>
    <t>Use Cap Rate if No. Units &gt; 1</t>
  </si>
  <si>
    <t>Proforma NOI &amp; Cap Rate assuming same actual Expenses</t>
  </si>
  <si>
    <t>Garage</t>
  </si>
  <si>
    <t>Baths</t>
  </si>
  <si>
    <t xml:space="preserve"> # Units</t>
  </si>
  <si>
    <t>Beds</t>
  </si>
  <si>
    <t>Use Apprec. Rate No. Units =1</t>
  </si>
  <si>
    <t>Year Built :</t>
  </si>
  <si>
    <t>No. Units :</t>
  </si>
  <si>
    <t>Purchase Price :</t>
  </si>
  <si>
    <r>
      <rPr>
        <b/>
        <sz val="14"/>
        <color indexed="9"/>
        <rFont val="Arial"/>
        <family val="2"/>
      </rPr>
      <t xml:space="preserve">                               Property Overview of Income &amp; Expenses               </t>
    </r>
    <r>
      <rPr>
        <b/>
        <sz val="12"/>
        <color indexed="9"/>
        <rFont val="Arial"/>
        <family val="2"/>
      </rPr>
      <t xml:space="preserve">           </t>
    </r>
    <r>
      <rPr>
        <b/>
        <sz val="10"/>
        <color indexed="9"/>
        <rFont val="Arial"/>
        <family val="2"/>
      </rPr>
      <t>Page 1 of 3</t>
    </r>
    <r>
      <rPr>
        <b/>
        <sz val="12"/>
        <color indexed="9"/>
        <rFont val="Arial"/>
        <family val="2"/>
      </rPr>
      <t xml:space="preserve">             </t>
    </r>
  </si>
  <si>
    <t>FMV Adjustment Option to Resale Value (+/-)</t>
  </si>
  <si>
    <t>Adjusted Projected Resale Value</t>
  </si>
  <si>
    <t>*** All living and lot SQFT are estimates and buyers should do their own investigations. ***</t>
  </si>
  <si>
    <t>Total Actual Rent</t>
  </si>
  <si>
    <t>Total Proforma $</t>
  </si>
  <si>
    <t>Adjustment Option to Resale Value</t>
  </si>
  <si>
    <t>Mortgage Expense</t>
  </si>
  <si>
    <t>Input data into gray boxes and enter negative sign for all expenses</t>
  </si>
  <si>
    <t>Adjustment Option to Gross Operation Income (+/-)</t>
  </si>
  <si>
    <t>Adjustment Option to Total Operating Expenses (+/-)</t>
  </si>
  <si>
    <t>Adjusted Gross Operating Income</t>
  </si>
  <si>
    <t>Adjusted Total Operating Expenses</t>
  </si>
  <si>
    <r>
      <rPr>
        <b/>
        <sz val="12"/>
        <rFont val="Arial"/>
        <family val="2"/>
      </rPr>
      <t>Equity in Real Estate</t>
    </r>
    <r>
      <rPr>
        <sz val="12"/>
        <rFont val="Arial"/>
        <family val="2"/>
      </rPr>
      <t xml:space="preserve"> is the difference between the fair market value of the property and the amount of money you owe on the mortgage. A more in-depth explanation of home equity can be outlined as the percentage of your home that you own. Divide home equity by market value to determine home equity %. </t>
    </r>
  </si>
  <si>
    <r>
      <rPr>
        <b/>
        <sz val="12"/>
        <rFont val="Arial"/>
        <family val="2"/>
      </rPr>
      <t>Gross Rent Multiplier (GRM)</t>
    </r>
    <r>
      <rPr>
        <sz val="12"/>
        <rFont val="Arial"/>
        <family val="2"/>
      </rPr>
      <t xml:space="preserve"> is a property’s market value divided by gross annual potential rental income.</t>
    </r>
  </si>
  <si>
    <t>FINANCIAL PERFORMANCE- Before Taxes</t>
  </si>
  <si>
    <t>Adjusted NOI</t>
  </si>
  <si>
    <t>Net Operating Income after Adjustments</t>
  </si>
  <si>
    <t>Projected Resale Value after Adjustments</t>
  </si>
  <si>
    <t>1743 261st St, Lomita 90717    SFR + Studio</t>
  </si>
  <si>
    <t>Internal Rate-of-Return (IRR) is the most widely used method of valuing a property's annual cash flow stream. Since a property cash flow is earned in the future, those future dollars must be converted to present day dollars. The IRR calculation discounts (reduces) the property's future cash flow at a rate so that the sum of all cash flow for a specified time period is equal to the initial investment.</t>
  </si>
  <si>
    <t>Modified Internal Rate-of-Return (MIRR) modifies the IRR to avoid the drawbacks of the traditional IRR. The IRR implicitly assumes that all cash flow is either reinvested or discounted at the computed IRR rate. In realty, a property's cash flow probably will not be reinvested at the computed IRR rate, but rather earn zero or a small amount of interest. The MIRR eliminates the reinvestment assumption by utilizing user stipulation reinvestment and borrowing rates.</t>
  </si>
  <si>
    <r>
      <t xml:space="preserve">                                                                        Financial Analysis of Cash Flow and Equity Accumulation                                                      </t>
    </r>
    <r>
      <rPr>
        <b/>
        <sz val="10"/>
        <color indexed="9"/>
        <rFont val="Arial"/>
        <family val="2"/>
      </rPr>
      <t xml:space="preserve"> Page 2 of 3</t>
    </r>
  </si>
  <si>
    <r>
      <rPr>
        <b/>
        <sz val="12"/>
        <rFont val="Arial"/>
        <family val="2"/>
      </rPr>
      <t>Real Estate Depreciation</t>
    </r>
    <r>
      <rPr>
        <sz val="12"/>
        <rFont val="Arial"/>
        <family val="2"/>
      </rPr>
      <t xml:space="preserve"> is an income tax deduction that allows a taxpayer to recover the cost  of the property structure and assumes that the property is actually declining over time as a result of wear and tear. This life span is designated as 27.5 years for residential rental property and 39 years for commercial property. Divide your building value without land by 27.5 or 39 to get your depreciation expense per year. Real estate depreciation is a critical tax deduction for real estate investors and should not be overlooked.</t>
    </r>
  </si>
  <si>
    <t>Please seek proper legal &amp; tax advise before making investment.</t>
  </si>
  <si>
    <t>no</t>
  </si>
  <si>
    <r>
      <t xml:space="preserve">Total CASH Generated if Sold- </t>
    </r>
    <r>
      <rPr>
        <sz val="10"/>
        <rFont val="Arial"/>
        <family val="2"/>
      </rPr>
      <t>Before Taxes</t>
    </r>
  </si>
  <si>
    <r>
      <t xml:space="preserve">Gross </t>
    </r>
    <r>
      <rPr>
        <b/>
        <i/>
        <sz val="9"/>
        <rFont val="Arial"/>
        <family val="2"/>
      </rPr>
      <t>Monthly Potential</t>
    </r>
    <r>
      <rPr>
        <b/>
        <sz val="9"/>
        <rFont val="Arial"/>
        <family val="2"/>
      </rPr>
      <t xml:space="preserve"> Rental Income (100% Occupied)</t>
    </r>
  </si>
  <si>
    <r>
      <t>Laundry M</t>
    </r>
    <r>
      <rPr>
        <i/>
        <sz val="9"/>
        <rFont val="Arial"/>
        <family val="2"/>
      </rPr>
      <t>onthly</t>
    </r>
    <r>
      <rPr>
        <sz val="9"/>
        <rFont val="Arial"/>
        <family val="2"/>
      </rPr>
      <t xml:space="preserve"> Income</t>
    </r>
  </si>
  <si>
    <r>
      <t xml:space="preserve">Other </t>
    </r>
    <r>
      <rPr>
        <i/>
        <sz val="9"/>
        <rFont val="Arial"/>
        <family val="2"/>
      </rPr>
      <t>Monthly</t>
    </r>
    <r>
      <rPr>
        <sz val="9"/>
        <rFont val="Arial"/>
        <family val="2"/>
      </rPr>
      <t xml:space="preserve"> Income (Parking, Storage, Pet Fee, Etc.)</t>
    </r>
  </si>
  <si>
    <t xml:space="preserve">Cap Rate = NOI / Market Value =   </t>
  </si>
  <si>
    <t>Cash Flow</t>
  </si>
  <si>
    <t>Cash-on-Cash Return</t>
  </si>
  <si>
    <t>Total Equity</t>
  </si>
  <si>
    <r>
      <rPr>
        <b/>
        <sz val="12"/>
        <rFont val="Arial"/>
        <family val="2"/>
      </rPr>
      <t xml:space="preserve">Cash-on-Cash Return with Equity Build Up </t>
    </r>
    <r>
      <rPr>
        <sz val="12"/>
        <rFont val="Arial"/>
        <family val="2"/>
      </rPr>
      <t>modifies the cash-on-cash return calculation by adding the property's net change in equity for that year to the numerator.  This calculation combines the net cash flow with the equity accumulated in that year and dividing by the initial investment. This shows the wealth generated without selling in a given year.</t>
    </r>
  </si>
  <si>
    <t>Insurance =0 .35% of Sales Price</t>
  </si>
  <si>
    <t>Taxes = 1.15% of Sales Price</t>
  </si>
  <si>
    <r>
      <t xml:space="preserve">Cash-on-Cash Return with Equity- </t>
    </r>
    <r>
      <rPr>
        <sz val="10"/>
        <rFont val="Arial"/>
        <family val="2"/>
      </rPr>
      <t>Before Selling</t>
    </r>
  </si>
  <si>
    <t>Monthly Gross Operating Income (GOI) or Effective Gross Income</t>
  </si>
  <si>
    <t>Gross Multiplier  =  Market Value / Annual Gross Potential Rental Income =</t>
  </si>
  <si>
    <t>Cash Flow Generated in Previous Years</t>
  </si>
  <si>
    <t>Cash-on-Cash Return with Equity before Sale</t>
  </si>
  <si>
    <t>Cash-on-Cash Return with Equity after Sale</t>
  </si>
  <si>
    <t>Real Estate Depreciation is an income tax deduction that allows a taxpayer to recover the cost  of the property structure and assumes that the property is actually declining over time as a result of wear and tear. This life span is designated as 27.5 years for residential rental property and 39 years for commercial property. Divide your building value without land by 27.5 or 39 to get your depreciation expense per year. Real estate depreciation is a critical tax deduction for real estate investors and should not be overlooked.  Always check with your Tax advisor on how you can utilize this in your investment stategy.</t>
  </si>
  <si>
    <t>West Shores Realty    DRE # 01423825</t>
  </si>
  <si>
    <r>
      <rPr>
        <b/>
        <sz val="12"/>
        <rFont val="Arial"/>
        <family val="2"/>
      </rPr>
      <t>Return on Investment (ROI)</t>
    </r>
    <r>
      <rPr>
        <sz val="12"/>
        <rFont val="Arial"/>
        <family val="2"/>
      </rPr>
      <t xml:space="preserve"> is a measure used to estimate &amp; evaluate the performance of an investment or to compare the performance of a number of different investments. To calculate ROI, the net profit of an investment is divided by the initial investment, and the results are expressed as a percentage in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</si>
</sst>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0.0%"/>
    <numFmt numFmtId="167" formatCode="0.0000%"/>
    <numFmt numFmtId="168" formatCode="0.000%"/>
  </numFmts>
  <fonts count="27" x14ac:knownFonts="1">
    <font>
      <sz val="10"/>
      <name val="Arial"/>
    </font>
    <font>
      <sz val="10"/>
      <name val="Arial"/>
      <family val="2"/>
    </font>
    <font>
      <sz val="8"/>
      <name val="Arial"/>
      <family val="2"/>
    </font>
    <font>
      <sz val="10"/>
      <name val="Arial"/>
      <family val="2"/>
    </font>
    <font>
      <b/>
      <sz val="10"/>
      <name val="Arial"/>
      <family val="2"/>
    </font>
    <font>
      <sz val="12"/>
      <name val="Arial"/>
      <family val="2"/>
    </font>
    <font>
      <b/>
      <sz val="12"/>
      <name val="Arial"/>
      <family val="2"/>
    </font>
    <font>
      <i/>
      <sz val="10"/>
      <name val="Arial"/>
      <family val="2"/>
    </font>
    <font>
      <sz val="9"/>
      <name val="Arial"/>
      <family val="2"/>
    </font>
    <font>
      <b/>
      <sz val="9.5"/>
      <name val="Arial"/>
      <family val="2"/>
    </font>
    <font>
      <b/>
      <sz val="9"/>
      <name val="Arial"/>
      <family val="2"/>
    </font>
    <font>
      <b/>
      <sz val="12"/>
      <color indexed="9"/>
      <name val="Arial"/>
      <family val="2"/>
    </font>
    <font>
      <b/>
      <sz val="10"/>
      <color indexed="9"/>
      <name val="Arial"/>
      <family val="2"/>
    </font>
    <font>
      <b/>
      <sz val="14"/>
      <color indexed="9"/>
      <name val="Arial"/>
      <family val="2"/>
    </font>
    <font>
      <b/>
      <u/>
      <sz val="9"/>
      <color indexed="8"/>
      <name val="Arial"/>
      <family val="2"/>
    </font>
    <font>
      <b/>
      <i/>
      <sz val="9"/>
      <name val="Arial"/>
      <family val="2"/>
    </font>
    <font>
      <i/>
      <sz val="9"/>
      <name val="Arial"/>
      <family val="2"/>
    </font>
    <font>
      <sz val="11"/>
      <color theme="1"/>
      <name val="Calibri"/>
      <family val="2"/>
      <scheme val="minor"/>
    </font>
    <font>
      <sz val="12"/>
      <color theme="0"/>
      <name val="Arial"/>
      <family val="2"/>
    </font>
    <font>
      <sz val="14"/>
      <color theme="0"/>
      <name val="Arial"/>
      <family val="2"/>
    </font>
    <font>
      <b/>
      <sz val="12"/>
      <color theme="0"/>
      <name val="Arial"/>
      <family val="2"/>
    </font>
    <font>
      <b/>
      <sz val="9"/>
      <color theme="1"/>
      <name val="Arial"/>
      <family val="2"/>
    </font>
    <font>
      <b/>
      <sz val="14"/>
      <color theme="0"/>
      <name val="Arial"/>
      <family val="2"/>
    </font>
    <font>
      <sz val="10"/>
      <color theme="0"/>
      <name val="Arial"/>
      <family val="2"/>
    </font>
    <font>
      <b/>
      <sz val="12"/>
      <color rgb="FF222222"/>
      <name val="Arial"/>
      <family val="2"/>
    </font>
    <font>
      <sz val="12"/>
      <color rgb="FF444444"/>
      <name val="Arial"/>
      <family val="2"/>
    </font>
    <font>
      <b/>
      <sz val="9"/>
      <color theme="0"/>
      <name val="Arial"/>
      <family val="2"/>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17" fillId="0" borderId="0"/>
    <xf numFmtId="9" fontId="1" fillId="0" borderId="0" applyFont="0" applyFill="0" applyBorder="0" applyAlignment="0" applyProtection="0"/>
  </cellStyleXfs>
  <cellXfs count="189">
    <xf numFmtId="0" fontId="0" fillId="0" borderId="0" xfId="0"/>
    <xf numFmtId="0" fontId="0" fillId="0" borderId="0" xfId="0" applyProtection="1"/>
    <xf numFmtId="164" fontId="0" fillId="0" borderId="0" xfId="0" applyNumberFormat="1" applyProtection="1"/>
    <xf numFmtId="0" fontId="3" fillId="0" borderId="0" xfId="0" applyFont="1" applyProtection="1"/>
    <xf numFmtId="0" fontId="4" fillId="0" borderId="0" xfId="0" applyFont="1" applyProtection="1"/>
    <xf numFmtId="0" fontId="0" fillId="0" borderId="0" xfId="0" applyBorder="1" applyProtection="1"/>
    <xf numFmtId="0" fontId="6" fillId="0" borderId="0" xfId="0" applyFont="1" applyProtection="1"/>
    <xf numFmtId="3" fontId="0" fillId="0" borderId="0" xfId="0" applyNumberFormat="1" applyAlignment="1" applyProtection="1">
      <alignment horizontal="center"/>
    </xf>
    <xf numFmtId="3" fontId="0" fillId="0" borderId="0" xfId="0" applyNumberFormat="1" applyProtection="1"/>
    <xf numFmtId="0" fontId="3" fillId="0" borderId="0" xfId="0" applyFont="1" applyAlignment="1" applyProtection="1">
      <alignment horizontal="center"/>
    </xf>
    <xf numFmtId="3" fontId="6" fillId="0" borderId="0" xfId="0" applyNumberFormat="1" applyFont="1" applyProtection="1"/>
    <xf numFmtId="164" fontId="6" fillId="0" borderId="0" xfId="0" applyNumberFormat="1" applyFont="1" applyProtection="1"/>
    <xf numFmtId="10" fontId="3" fillId="0" borderId="0" xfId="0" applyNumberFormat="1" applyFont="1" applyProtection="1"/>
    <xf numFmtId="10" fontId="4" fillId="0" borderId="0" xfId="0" applyNumberFormat="1" applyFont="1" applyProtection="1"/>
    <xf numFmtId="3" fontId="8" fillId="0" borderId="0" xfId="0" applyNumberFormat="1" applyFont="1" applyAlignment="1" applyProtection="1">
      <alignment horizontal="center" wrapText="1"/>
    </xf>
    <xf numFmtId="3" fontId="8" fillId="0" borderId="0" xfId="0" applyNumberFormat="1" applyFont="1" applyAlignment="1" applyProtection="1">
      <alignment wrapText="1"/>
    </xf>
    <xf numFmtId="0" fontId="4" fillId="0" borderId="0" xfId="0" applyFont="1" applyAlignment="1" applyProtection="1">
      <alignment horizontal="right"/>
    </xf>
    <xf numFmtId="0" fontId="4" fillId="0" borderId="0" xfId="0" applyFont="1" applyAlignment="1" applyProtection="1"/>
    <xf numFmtId="0" fontId="8" fillId="0" borderId="0" xfId="0" applyFont="1" applyProtection="1"/>
    <xf numFmtId="0" fontId="3" fillId="0" borderId="0" xfId="0" applyFont="1" applyFill="1" applyBorder="1" applyProtection="1"/>
    <xf numFmtId="0" fontId="18" fillId="0" borderId="0" xfId="0" applyFont="1" applyFill="1" applyAlignment="1" applyProtection="1">
      <alignment horizontal="left"/>
    </xf>
    <xf numFmtId="0" fontId="4" fillId="0" borderId="0" xfId="0" applyFont="1" applyAlignment="1" applyProtection="1">
      <alignment horizontal="center"/>
    </xf>
    <xf numFmtId="0" fontId="3" fillId="0" borderId="0" xfId="0" applyFont="1" applyAlignment="1" applyProtection="1">
      <alignment wrapText="1"/>
    </xf>
    <xf numFmtId="41" fontId="0" fillId="0" borderId="0" xfId="0" applyNumberFormat="1" applyProtection="1"/>
    <xf numFmtId="41" fontId="3" fillId="0" borderId="0" xfId="0" applyNumberFormat="1" applyFont="1" applyProtection="1"/>
    <xf numFmtId="3" fontId="10" fillId="0" borderId="0" xfId="0" applyNumberFormat="1" applyFont="1" applyAlignment="1" applyProtection="1">
      <alignment horizontal="center" wrapText="1"/>
    </xf>
    <xf numFmtId="0" fontId="0" fillId="0" borderId="0" xfId="0" applyAlignment="1">
      <alignment wrapText="1"/>
    </xf>
    <xf numFmtId="0" fontId="0" fillId="0" borderId="0" xfId="0" applyAlignment="1"/>
    <xf numFmtId="0" fontId="5" fillId="0" borderId="0" xfId="0" applyFont="1" applyAlignment="1">
      <alignment horizontal="left" wrapText="1"/>
    </xf>
    <xf numFmtId="0" fontId="5" fillId="0" borderId="0" xfId="0" applyFont="1" applyAlignment="1"/>
    <xf numFmtId="0" fontId="5" fillId="0" borderId="0" xfId="0" applyFont="1" applyAlignment="1">
      <alignment horizontal="left"/>
    </xf>
    <xf numFmtId="0" fontId="5" fillId="0" borderId="0" xfId="0" applyFont="1" applyAlignment="1">
      <alignment wrapText="1"/>
    </xf>
    <xf numFmtId="0" fontId="19" fillId="0" borderId="0" xfId="0" applyFont="1" applyFill="1" applyAlignment="1">
      <alignment horizontal="center"/>
    </xf>
    <xf numFmtId="0" fontId="20" fillId="0" borderId="0" xfId="0" applyFont="1" applyFill="1" applyAlignment="1" applyProtection="1"/>
    <xf numFmtId="0" fontId="0" fillId="0" borderId="0" xfId="0" applyProtection="1">
      <protection locked="0"/>
    </xf>
    <xf numFmtId="10" fontId="0" fillId="0" borderId="0" xfId="0" applyNumberFormat="1" applyProtection="1"/>
    <xf numFmtId="9" fontId="0" fillId="0" borderId="0" xfId="3" applyFont="1"/>
    <xf numFmtId="0" fontId="0" fillId="0" borderId="0" xfId="0" applyFill="1" applyProtection="1"/>
    <xf numFmtId="0" fontId="0" fillId="2" borderId="0" xfId="0" applyFill="1" applyProtection="1"/>
    <xf numFmtId="0" fontId="0" fillId="0" borderId="0" xfId="0" applyFill="1" applyBorder="1" applyProtection="1"/>
    <xf numFmtId="0" fontId="20" fillId="0" borderId="0" xfId="0" applyFont="1" applyFill="1" applyBorder="1" applyAlignment="1" applyProtection="1">
      <alignment horizontal="center"/>
    </xf>
    <xf numFmtId="42" fontId="3" fillId="0" borderId="0" xfId="0" applyNumberFormat="1" applyFont="1" applyAlignment="1" applyProtection="1">
      <alignment horizontal="center"/>
    </xf>
    <xf numFmtId="3" fontId="4" fillId="0" borderId="0" xfId="0" applyNumberFormat="1" applyFont="1" applyAlignment="1" applyProtection="1">
      <alignment horizontal="center"/>
    </xf>
    <xf numFmtId="0" fontId="10" fillId="0" borderId="0" xfId="0" applyFont="1" applyAlignment="1" applyProtection="1">
      <alignment horizontal="right"/>
    </xf>
    <xf numFmtId="0" fontId="10" fillId="0" borderId="0" xfId="0" applyFont="1" applyProtection="1"/>
    <xf numFmtId="0" fontId="21" fillId="0" borderId="0" xfId="2" applyFont="1" applyProtection="1"/>
    <xf numFmtId="0" fontId="10" fillId="0" borderId="0" xfId="0" applyFont="1" applyAlignment="1" applyProtection="1"/>
    <xf numFmtId="164" fontId="8" fillId="0" borderId="0" xfId="0" applyNumberFormat="1" applyFont="1" applyProtection="1"/>
    <xf numFmtId="0" fontId="4" fillId="0" borderId="0" xfId="0" applyFont="1" applyFill="1" applyBorder="1" applyAlignment="1" applyProtection="1"/>
    <xf numFmtId="0" fontId="7" fillId="0" borderId="0" xfId="0" applyFont="1" applyProtection="1"/>
    <xf numFmtId="10" fontId="8" fillId="0" borderId="0" xfId="0" applyNumberFormat="1" applyFont="1" applyAlignment="1" applyProtection="1">
      <alignment wrapText="1"/>
    </xf>
    <xf numFmtId="0" fontId="22" fillId="0" borderId="0" xfId="0" applyFont="1" applyFill="1" applyAlignment="1"/>
    <xf numFmtId="0" fontId="6" fillId="0" borderId="0" xfId="0" applyFont="1" applyAlignment="1">
      <alignment horizontal="left" wrapText="1"/>
    </xf>
    <xf numFmtId="0" fontId="20" fillId="0" borderId="0" xfId="0" applyFont="1" applyFill="1" applyAlignment="1" applyProtection="1">
      <alignment horizontal="center"/>
    </xf>
    <xf numFmtId="3" fontId="0" fillId="0" borderId="0" xfId="0" applyNumberFormat="1" applyFill="1" applyAlignment="1" applyProtection="1">
      <alignment horizontal="center"/>
    </xf>
    <xf numFmtId="3" fontId="0" fillId="0" borderId="0" xfId="0" applyNumberFormat="1" applyFill="1" applyProtection="1"/>
    <xf numFmtId="164" fontId="0" fillId="0" borderId="0" xfId="0" applyNumberFormat="1" applyFill="1" applyProtection="1"/>
    <xf numFmtId="164" fontId="3" fillId="0" borderId="0" xfId="0" applyNumberFormat="1" applyFont="1" applyAlignment="1" applyProtection="1">
      <alignment horizontal="left"/>
    </xf>
    <xf numFmtId="0" fontId="9" fillId="0" borderId="0" xfId="0" applyFont="1" applyAlignment="1" applyProtection="1">
      <alignment horizontal="left"/>
    </xf>
    <xf numFmtId="42" fontId="3" fillId="0" borderId="0" xfId="0" applyNumberFormat="1" applyFont="1" applyProtection="1"/>
    <xf numFmtId="42" fontId="4" fillId="0" borderId="0" xfId="0" applyNumberFormat="1" applyFont="1" applyProtection="1"/>
    <xf numFmtId="166" fontId="4" fillId="0" borderId="0" xfId="0" applyNumberFormat="1" applyFont="1" applyAlignment="1" applyProtection="1">
      <alignment horizontal="center"/>
    </xf>
    <xf numFmtId="41" fontId="0" fillId="3" borderId="0" xfId="0" applyNumberFormat="1" applyFill="1" applyProtection="1">
      <protection locked="0"/>
    </xf>
    <xf numFmtId="0" fontId="23" fillId="4" borderId="0" xfId="0" applyFont="1" applyFill="1" applyProtection="1"/>
    <xf numFmtId="0" fontId="23" fillId="4" borderId="0" xfId="0" applyFont="1" applyFill="1" applyAlignment="1" applyProtection="1">
      <alignment horizontal="right"/>
    </xf>
    <xf numFmtId="0" fontId="4" fillId="5" borderId="0" xfId="0" applyFont="1" applyFill="1" applyProtection="1"/>
    <xf numFmtId="42" fontId="4" fillId="5" borderId="0" xfId="0" applyNumberFormat="1" applyFont="1" applyFill="1" applyProtection="1"/>
    <xf numFmtId="0" fontId="4" fillId="6" borderId="0" xfId="0" applyFont="1" applyFill="1" applyProtection="1"/>
    <xf numFmtId="42" fontId="4" fillId="6" borderId="0" xfId="0" applyNumberFormat="1" applyFont="1" applyFill="1" applyProtection="1"/>
    <xf numFmtId="0" fontId="4" fillId="7" borderId="0" xfId="0" applyFont="1" applyFill="1" applyProtection="1"/>
    <xf numFmtId="10" fontId="4" fillId="7" borderId="0" xfId="0" applyNumberFormat="1" applyFont="1" applyFill="1" applyProtection="1"/>
    <xf numFmtId="42" fontId="7" fillId="0" borderId="0" xfId="0" applyNumberFormat="1" applyFont="1" applyProtection="1"/>
    <xf numFmtId="43" fontId="3" fillId="0" borderId="0" xfId="0" applyNumberFormat="1" applyFont="1" applyProtection="1"/>
    <xf numFmtId="9" fontId="4" fillId="7" borderId="0" xfId="0" applyNumberFormat="1" applyFont="1" applyFill="1" applyProtection="1"/>
    <xf numFmtId="0" fontId="3" fillId="0" borderId="0" xfId="0" applyFont="1" applyFill="1" applyProtection="1"/>
    <xf numFmtId="41" fontId="0" fillId="0" borderId="0" xfId="0" applyNumberFormat="1" applyFill="1" applyProtection="1"/>
    <xf numFmtId="0" fontId="4" fillId="2" borderId="0" xfId="0" applyFont="1" applyFill="1" applyProtection="1"/>
    <xf numFmtId="42" fontId="0" fillId="2" borderId="0" xfId="0" applyNumberFormat="1" applyFill="1" applyProtection="1"/>
    <xf numFmtId="41" fontId="3" fillId="3" borderId="0" xfId="0" applyNumberFormat="1" applyFont="1" applyFill="1" applyProtection="1">
      <protection locked="0"/>
    </xf>
    <xf numFmtId="42" fontId="4" fillId="8" borderId="0" xfId="0" applyNumberFormat="1" applyFont="1" applyFill="1" applyProtection="1"/>
    <xf numFmtId="0" fontId="24" fillId="0" borderId="0" xfId="0" applyFont="1"/>
    <xf numFmtId="0" fontId="25" fillId="0" borderId="0" xfId="0" applyFont="1"/>
    <xf numFmtId="3" fontId="3" fillId="0" borderId="0" xfId="0" applyNumberFormat="1" applyFont="1" applyAlignment="1" applyProtection="1">
      <alignment horizontal="center"/>
    </xf>
    <xf numFmtId="10" fontId="3" fillId="0" borderId="0" xfId="0" applyNumberFormat="1" applyFont="1" applyAlignment="1" applyProtection="1">
      <alignment horizontal="center"/>
    </xf>
    <xf numFmtId="37" fontId="3" fillId="0" borderId="0" xfId="0" applyNumberFormat="1" applyFont="1" applyProtection="1"/>
    <xf numFmtId="0" fontId="4" fillId="0" borderId="0" xfId="0" applyNumberFormat="1" applyFont="1" applyAlignment="1" applyProtection="1">
      <alignment horizontal="center"/>
    </xf>
    <xf numFmtId="0" fontId="3" fillId="0" borderId="0" xfId="0" applyFont="1" applyAlignment="1">
      <alignment wrapText="1"/>
    </xf>
    <xf numFmtId="0" fontId="10" fillId="0" borderId="0" xfId="0" applyFont="1" applyAlignment="1" applyProtection="1">
      <alignment horizontal="center"/>
    </xf>
    <xf numFmtId="9" fontId="0" fillId="0" borderId="0" xfId="0" applyNumberFormat="1" applyProtection="1"/>
    <xf numFmtId="9" fontId="3" fillId="0" borderId="0" xfId="0" applyNumberFormat="1" applyFont="1" applyProtection="1"/>
    <xf numFmtId="0" fontId="4" fillId="0" borderId="0" xfId="0" applyFont="1" applyFill="1" applyProtection="1"/>
    <xf numFmtId="42" fontId="4" fillId="0" borderId="0" xfId="0" applyNumberFormat="1" applyFont="1" applyFill="1" applyBorder="1" applyAlignment="1" applyProtection="1">
      <alignment horizontal="center"/>
    </xf>
    <xf numFmtId="42" fontId="8" fillId="3" borderId="0" xfId="1" applyNumberFormat="1" applyFont="1" applyFill="1" applyBorder="1" applyAlignment="1" applyProtection="1">
      <protection locked="0"/>
    </xf>
    <xf numFmtId="0" fontId="10" fillId="0" borderId="0" xfId="0" applyFont="1" applyFill="1" applyBorder="1" applyAlignment="1" applyProtection="1"/>
    <xf numFmtId="3" fontId="8" fillId="0" borderId="0" xfId="0" applyNumberFormat="1" applyFont="1" applyAlignment="1" applyProtection="1">
      <alignment horizontal="center"/>
    </xf>
    <xf numFmtId="3" fontId="8" fillId="0" borderId="0" xfId="0" applyNumberFormat="1" applyFont="1" applyProtection="1"/>
    <xf numFmtId="0" fontId="8" fillId="0" borderId="0" xfId="0" applyFont="1" applyAlignment="1" applyProtection="1">
      <alignment horizontal="left"/>
    </xf>
    <xf numFmtId="0" fontId="8" fillId="0" borderId="0" xfId="0" applyFont="1" applyAlignment="1" applyProtection="1"/>
    <xf numFmtId="0" fontId="8" fillId="3" borderId="0" xfId="0" applyFont="1" applyFill="1" applyBorder="1" applyAlignment="1" applyProtection="1">
      <alignment horizontal="center"/>
      <protection locked="0"/>
    </xf>
    <xf numFmtId="0" fontId="26" fillId="0" borderId="0" xfId="0" applyFont="1" applyFill="1" applyBorder="1" applyAlignment="1" applyProtection="1"/>
    <xf numFmtId="0" fontId="8" fillId="0" borderId="0" xfId="0" applyFont="1" applyAlignment="1" applyProtection="1">
      <alignment horizontal="center"/>
    </xf>
    <xf numFmtId="0" fontId="8" fillId="0" borderId="0" xfId="0" applyFont="1" applyFill="1" applyBorder="1" applyAlignment="1" applyProtection="1"/>
    <xf numFmtId="0" fontId="8" fillId="0" borderId="0" xfId="0" applyFont="1" applyFill="1" applyBorder="1" applyProtection="1"/>
    <xf numFmtId="0" fontId="8" fillId="0" borderId="0" xfId="0" applyFont="1" applyFill="1" applyBorder="1" applyAlignment="1" applyProtection="1">
      <alignment horizontal="center"/>
    </xf>
    <xf numFmtId="0" fontId="8" fillId="3" borderId="0" xfId="0" applyFont="1" applyFill="1" applyAlignment="1" applyProtection="1">
      <alignment horizontal="left"/>
      <protection locked="0"/>
    </xf>
    <xf numFmtId="0" fontId="8" fillId="3" borderId="0" xfId="0" applyFont="1" applyFill="1" applyBorder="1" applyAlignment="1" applyProtection="1">
      <alignment horizontal="left"/>
      <protection locked="0"/>
    </xf>
    <xf numFmtId="42" fontId="8" fillId="3" borderId="0" xfId="0" applyNumberFormat="1" applyFont="1" applyFill="1" applyAlignment="1" applyProtection="1">
      <protection locked="0"/>
    </xf>
    <xf numFmtId="42" fontId="8" fillId="0" borderId="0" xfId="0" applyNumberFormat="1" applyFont="1" applyFill="1" applyBorder="1" applyAlignment="1" applyProtection="1">
      <alignment horizontal="center"/>
    </xf>
    <xf numFmtId="42" fontId="8" fillId="0" borderId="0" xfId="0" applyNumberFormat="1" applyFont="1" applyFill="1" applyBorder="1" applyAlignment="1" applyProtection="1"/>
    <xf numFmtId="0" fontId="26" fillId="0" borderId="0" xfId="0" applyFont="1" applyFill="1" applyBorder="1" applyAlignment="1" applyProtection="1">
      <alignment wrapText="1"/>
    </xf>
    <xf numFmtId="42" fontId="10" fillId="0" borderId="1" xfId="0" applyNumberFormat="1" applyFont="1" applyBorder="1" applyAlignment="1" applyProtection="1">
      <alignment horizontal="center"/>
    </xf>
    <xf numFmtId="42" fontId="10" fillId="0" borderId="1" xfId="0" applyNumberFormat="1" applyFont="1" applyBorder="1" applyAlignment="1" applyProtection="1"/>
    <xf numFmtId="166" fontId="10" fillId="0" borderId="2" xfId="0" applyNumberFormat="1" applyFont="1" applyBorder="1" applyAlignment="1" applyProtection="1">
      <alignment horizontal="center"/>
    </xf>
    <xf numFmtId="166" fontId="10" fillId="0" borderId="1" xfId="0" applyNumberFormat="1" applyFont="1" applyBorder="1" applyAlignment="1" applyProtection="1">
      <alignment horizontal="center"/>
    </xf>
    <xf numFmtId="0" fontId="8" fillId="0" borderId="0" xfId="0" applyFont="1" applyBorder="1" applyProtection="1"/>
    <xf numFmtId="42" fontId="8" fillId="0" borderId="3" xfId="0" applyNumberFormat="1" applyFont="1" applyBorder="1" applyAlignment="1" applyProtection="1">
      <alignment horizontal="center"/>
    </xf>
    <xf numFmtId="42" fontId="8" fillId="0" borderId="1" xfId="0" applyNumberFormat="1" applyFont="1" applyBorder="1" applyAlignment="1" applyProtection="1"/>
    <xf numFmtId="42" fontId="8" fillId="3" borderId="1" xfId="0" applyNumberFormat="1" applyFont="1" applyFill="1" applyBorder="1" applyAlignment="1" applyProtection="1">
      <alignment horizontal="center"/>
      <protection locked="0"/>
    </xf>
    <xf numFmtId="42" fontId="8" fillId="0" borderId="3" xfId="0" applyNumberFormat="1" applyFont="1" applyBorder="1" applyAlignment="1" applyProtection="1"/>
    <xf numFmtId="165" fontId="8" fillId="0" borderId="0" xfId="0" applyNumberFormat="1" applyFont="1" applyProtection="1"/>
    <xf numFmtId="3" fontId="10" fillId="0" borderId="0" xfId="0" applyNumberFormat="1" applyFont="1" applyAlignment="1" applyProtection="1"/>
    <xf numFmtId="42" fontId="8" fillId="3" borderId="0" xfId="0" applyNumberFormat="1" applyFont="1" applyFill="1" applyBorder="1" applyAlignment="1" applyProtection="1">
      <alignment horizontal="center"/>
      <protection locked="0"/>
    </xf>
    <xf numFmtId="42" fontId="8" fillId="0" borderId="0" xfId="0" applyNumberFormat="1" applyFont="1" applyAlignment="1" applyProtection="1"/>
    <xf numFmtId="42" fontId="8" fillId="0" borderId="0" xfId="0" applyNumberFormat="1" applyFont="1" applyAlignment="1" applyProtection="1">
      <alignment horizontal="center"/>
    </xf>
    <xf numFmtId="0" fontId="8" fillId="0" borderId="0" xfId="0" applyFont="1" applyAlignment="1" applyProtection="1">
      <alignment wrapText="1"/>
    </xf>
    <xf numFmtId="0" fontId="8" fillId="0" borderId="0" xfId="0" applyFont="1" applyFill="1" applyProtection="1"/>
    <xf numFmtId="42" fontId="10" fillId="0" borderId="0" xfId="0" applyNumberFormat="1" applyFont="1" applyBorder="1" applyAlignment="1" applyProtection="1"/>
    <xf numFmtId="42" fontId="10" fillId="0" borderId="0" xfId="0" applyNumberFormat="1" applyFont="1" applyBorder="1" applyAlignment="1" applyProtection="1">
      <alignment horizontal="center"/>
    </xf>
    <xf numFmtId="42" fontId="10" fillId="0" borderId="0" xfId="1" applyNumberFormat="1" applyFont="1" applyBorder="1" applyAlignment="1" applyProtection="1"/>
    <xf numFmtId="42" fontId="10" fillId="0" borderId="1" xfId="1" applyNumberFormat="1" applyFont="1" applyBorder="1" applyAlignment="1" applyProtection="1">
      <alignment horizontal="center"/>
    </xf>
    <xf numFmtId="42" fontId="10" fillId="0" borderId="1" xfId="1" applyNumberFormat="1" applyFont="1" applyBorder="1" applyAlignment="1" applyProtection="1"/>
    <xf numFmtId="166" fontId="10" fillId="0" borderId="1" xfId="1" applyNumberFormat="1" applyFont="1" applyBorder="1" applyAlignment="1" applyProtection="1">
      <alignment horizontal="center"/>
    </xf>
    <xf numFmtId="0" fontId="8" fillId="0" borderId="0" xfId="0" applyFont="1" applyFill="1" applyAlignment="1" applyProtection="1">
      <alignment horizontal="right"/>
    </xf>
    <xf numFmtId="166" fontId="8" fillId="3" borderId="0" xfId="0" applyNumberFormat="1" applyFont="1" applyFill="1" applyAlignment="1" applyProtection="1">
      <alignment horizontal="center"/>
      <protection locked="0"/>
    </xf>
    <xf numFmtId="42" fontId="10" fillId="0" borderId="0" xfId="0" applyNumberFormat="1" applyFont="1" applyFill="1" applyProtection="1"/>
    <xf numFmtId="164" fontId="10" fillId="0" borderId="0" xfId="0" applyNumberFormat="1" applyFont="1" applyProtection="1"/>
    <xf numFmtId="0" fontId="8" fillId="0" borderId="0" xfId="0" applyFont="1" applyAlignment="1" applyProtection="1">
      <alignment horizontal="right"/>
    </xf>
    <xf numFmtId="167" fontId="8" fillId="0" borderId="0" xfId="0" applyNumberFormat="1" applyFont="1" applyProtection="1"/>
    <xf numFmtId="42" fontId="8" fillId="0" borderId="0" xfId="0" applyNumberFormat="1" applyFont="1" applyProtection="1"/>
    <xf numFmtId="0" fontId="10" fillId="0" borderId="0" xfId="0" applyFont="1" applyFill="1" applyBorder="1" applyProtection="1"/>
    <xf numFmtId="42" fontId="10" fillId="0" borderId="0" xfId="0" applyNumberFormat="1" applyFont="1" applyProtection="1"/>
    <xf numFmtId="10" fontId="8" fillId="0" borderId="0" xfId="0" applyNumberFormat="1" applyFont="1" applyFill="1" applyAlignment="1" applyProtection="1">
      <alignment horizontal="center"/>
    </xf>
    <xf numFmtId="164" fontId="8" fillId="0" borderId="0" xfId="0" applyNumberFormat="1" applyFont="1" applyAlignment="1" applyProtection="1">
      <alignment horizontal="left"/>
    </xf>
    <xf numFmtId="0" fontId="26" fillId="0" borderId="0" xfId="0" applyFont="1" applyFill="1" applyAlignment="1" applyProtection="1"/>
    <xf numFmtId="166" fontId="10" fillId="0" borderId="0" xfId="0" applyNumberFormat="1" applyFont="1" applyAlignment="1" applyProtection="1">
      <alignment horizontal="center"/>
    </xf>
    <xf numFmtId="10" fontId="10" fillId="0" borderId="0" xfId="0" applyNumberFormat="1" applyFont="1" applyProtection="1"/>
    <xf numFmtId="164" fontId="10" fillId="0" borderId="0" xfId="0" applyNumberFormat="1" applyFont="1" applyAlignment="1" applyProtection="1">
      <alignment horizontal="right"/>
    </xf>
    <xf numFmtId="42" fontId="8" fillId="3" borderId="0" xfId="0" applyNumberFormat="1" applyFont="1" applyFill="1" applyAlignment="1" applyProtection="1">
      <alignment horizontal="center"/>
      <protection locked="0"/>
    </xf>
    <xf numFmtId="42" fontId="8" fillId="0" borderId="1" xfId="0" applyNumberFormat="1" applyFont="1" applyFill="1" applyBorder="1" applyAlignment="1" applyProtection="1">
      <protection locked="0"/>
    </xf>
    <xf numFmtId="9" fontId="8" fillId="3" borderId="0" xfId="0" applyNumberFormat="1" applyFont="1" applyFill="1" applyAlignment="1" applyProtection="1">
      <alignment horizontal="center"/>
      <protection locked="0"/>
    </xf>
    <xf numFmtId="10" fontId="6" fillId="0" borderId="0" xfId="0" applyNumberFormat="1" applyFont="1" applyAlignment="1">
      <alignment horizontal="left" wrapText="1"/>
    </xf>
    <xf numFmtId="42" fontId="8" fillId="3" borderId="0" xfId="0" applyNumberFormat="1" applyFont="1" applyFill="1" applyAlignment="1" applyProtection="1">
      <alignment horizontal="center"/>
      <protection locked="0"/>
    </xf>
    <xf numFmtId="0" fontId="8" fillId="0" borderId="0" xfId="0" applyFont="1" applyAlignment="1" applyProtection="1">
      <alignment horizontal="center"/>
    </xf>
    <xf numFmtId="0" fontId="10" fillId="0" borderId="0" xfId="0" applyFont="1" applyAlignment="1" applyProtection="1">
      <alignment horizontal="left"/>
    </xf>
    <xf numFmtId="0" fontId="8" fillId="0" borderId="0" xfId="0" applyFont="1" applyAlignment="1" applyProtection="1">
      <alignment horizontal="left"/>
    </xf>
    <xf numFmtId="0" fontId="20" fillId="4" borderId="7" xfId="0" applyFont="1" applyFill="1" applyBorder="1" applyAlignment="1" applyProtection="1">
      <alignment horizontal="center"/>
    </xf>
    <xf numFmtId="0" fontId="8" fillId="3" borderId="0" xfId="0" applyFont="1" applyFill="1" applyBorder="1" applyAlignment="1" applyProtection="1">
      <alignment horizontal="center"/>
      <protection locked="0"/>
    </xf>
    <xf numFmtId="0" fontId="8" fillId="3" borderId="8" xfId="0" applyFont="1" applyFill="1" applyBorder="1" applyAlignment="1" applyProtection="1">
      <alignment horizontal="left"/>
      <protection locked="0"/>
    </xf>
    <xf numFmtId="0" fontId="8" fillId="3" borderId="7" xfId="0" applyFont="1" applyFill="1" applyBorder="1" applyAlignment="1" applyProtection="1">
      <alignment horizontal="center"/>
      <protection locked="0"/>
    </xf>
    <xf numFmtId="42" fontId="20" fillId="4" borderId="0" xfId="0" applyNumberFormat="1" applyFont="1" applyFill="1" applyAlignment="1" applyProtection="1">
      <alignment horizontal="center"/>
    </xf>
    <xf numFmtId="42" fontId="20" fillId="4" borderId="8" xfId="0" applyNumberFormat="1" applyFont="1" applyFill="1" applyBorder="1" applyAlignment="1" applyProtection="1">
      <alignment horizontal="center"/>
    </xf>
    <xf numFmtId="0" fontId="20" fillId="4" borderId="0" xfId="0" applyFont="1" applyFill="1" applyBorder="1" applyAlignment="1" applyProtection="1">
      <alignment horizontal="center"/>
    </xf>
    <xf numFmtId="0" fontId="8" fillId="0" borderId="0" xfId="0" applyFont="1" applyFill="1" applyAlignment="1" applyProtection="1">
      <alignment horizontal="left"/>
    </xf>
    <xf numFmtId="0" fontId="3" fillId="0" borderId="0" xfId="0" applyFont="1" applyAlignment="1" applyProtection="1">
      <alignment horizontal="left" wrapText="1"/>
    </xf>
    <xf numFmtId="3" fontId="10" fillId="0" borderId="0" xfId="0" applyNumberFormat="1" applyFont="1" applyAlignment="1" applyProtection="1">
      <alignment horizontal="center"/>
    </xf>
    <xf numFmtId="0" fontId="8" fillId="0" borderId="0" xfId="0" applyFont="1" applyAlignment="1" applyProtection="1">
      <alignment horizontal="left" wrapText="1"/>
    </xf>
    <xf numFmtId="0" fontId="8" fillId="3" borderId="0" xfId="0" applyFont="1" applyFill="1" applyAlignment="1" applyProtection="1">
      <alignment horizontal="center"/>
      <protection locked="0"/>
    </xf>
    <xf numFmtId="42" fontId="8" fillId="0" borderId="0" xfId="0" applyNumberFormat="1" applyFont="1" applyFill="1" applyAlignment="1" applyProtection="1">
      <alignment horizontal="center"/>
    </xf>
    <xf numFmtId="168" fontId="8" fillId="3" borderId="0" xfId="0" applyNumberFormat="1" applyFont="1" applyFill="1" applyAlignment="1" applyProtection="1">
      <alignment horizontal="center"/>
      <protection locked="0"/>
    </xf>
    <xf numFmtId="42" fontId="10" fillId="2" borderId="0" xfId="0" applyNumberFormat="1" applyFont="1" applyFill="1" applyBorder="1" applyAlignment="1" applyProtection="1">
      <alignment horizontal="center"/>
    </xf>
    <xf numFmtId="42" fontId="8" fillId="0" borderId="0" xfId="0" applyNumberFormat="1" applyFont="1" applyAlignment="1" applyProtection="1">
      <alignment horizontal="left" wrapText="1"/>
    </xf>
    <xf numFmtId="0" fontId="20" fillId="4" borderId="0" xfId="0" applyFont="1" applyFill="1" applyAlignment="1" applyProtection="1">
      <alignment horizontal="center"/>
    </xf>
    <xf numFmtId="1" fontId="8" fillId="3" borderId="0" xfId="0" applyNumberFormat="1" applyFont="1" applyFill="1" applyAlignment="1" applyProtection="1">
      <alignment horizontal="center"/>
      <protection locked="0"/>
    </xf>
    <xf numFmtId="0" fontId="10" fillId="0" borderId="4" xfId="0" applyFont="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0" xfId="0" applyFont="1" applyAlignment="1" applyProtection="1">
      <alignment horizontal="center"/>
    </xf>
    <xf numFmtId="42" fontId="10" fillId="0" borderId="0" xfId="0" applyNumberFormat="1" applyFont="1" applyAlignment="1" applyProtection="1">
      <alignment horizontal="center"/>
    </xf>
    <xf numFmtId="42" fontId="10" fillId="3" borderId="0" xfId="0" applyNumberFormat="1" applyFont="1" applyFill="1" applyBorder="1" applyAlignment="1" applyProtection="1">
      <alignment horizontal="center"/>
      <protection locked="0"/>
    </xf>
    <xf numFmtId="0" fontId="22" fillId="4" borderId="0" xfId="0" applyFont="1" applyFill="1" applyAlignment="1" applyProtection="1">
      <alignment horizontal="center"/>
    </xf>
    <xf numFmtId="0" fontId="6" fillId="0" borderId="0" xfId="0" applyFont="1" applyFill="1" applyAlignment="1" applyProtection="1">
      <alignment horizontal="center"/>
    </xf>
    <xf numFmtId="0" fontId="6"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22" fillId="4" borderId="0" xfId="0" applyFont="1" applyFill="1" applyAlignment="1">
      <alignment horizontal="center"/>
    </xf>
    <xf numFmtId="0" fontId="6" fillId="0" borderId="0" xfId="0" applyFont="1" applyAlignment="1">
      <alignment horizontal="left" wrapText="1"/>
    </xf>
    <xf numFmtId="0" fontId="6" fillId="0" borderId="0" xfId="0" applyFont="1" applyAlignment="1" applyProtection="1">
      <alignment horizontal="center"/>
    </xf>
    <xf numFmtId="0" fontId="6" fillId="0" borderId="0" xfId="0" applyFont="1" applyAlignment="1" applyProtection="1">
      <alignment horizontal="left" wrapText="1"/>
    </xf>
    <xf numFmtId="0" fontId="1" fillId="0" borderId="0" xfId="0" applyFont="1" applyProtection="1"/>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W88"/>
  <sheetViews>
    <sheetView tabSelected="1" zoomScaleNormal="100" workbookViewId="0">
      <selection activeCell="K36" sqref="K36"/>
    </sheetView>
  </sheetViews>
  <sheetFormatPr defaultRowHeight="12.75" x14ac:dyDescent="0.2"/>
  <cols>
    <col min="1" max="1" width="5.7109375" style="1" customWidth="1"/>
    <col min="2" max="2" width="9.7109375" style="1" customWidth="1"/>
    <col min="3" max="6" width="6.5703125" style="1" customWidth="1"/>
    <col min="7" max="7" width="13.7109375" style="1" customWidth="1"/>
    <col min="8" max="8" width="9.42578125" style="1" customWidth="1"/>
    <col min="9" max="9" width="6.5703125" style="1" customWidth="1"/>
    <col min="10" max="10" width="5.7109375" style="1" customWidth="1"/>
    <col min="11" max="12" width="13.7109375" style="1" customWidth="1"/>
    <col min="13" max="13" width="9.7109375" style="1" customWidth="1"/>
    <col min="14" max="14" width="13" style="1" customWidth="1"/>
    <col min="15" max="15" width="7.140625" style="7" customWidth="1"/>
    <col min="16" max="16" width="14.5703125" style="8" customWidth="1"/>
    <col min="17" max="17" width="15.42578125" style="8" customWidth="1"/>
    <col min="18" max="18" width="6.42578125" style="8" customWidth="1"/>
    <col min="19" max="22" width="15.42578125" style="8" customWidth="1"/>
    <col min="23" max="23" width="12.85546875" style="2" customWidth="1"/>
    <col min="24" max="24" width="14.28515625" style="1" customWidth="1"/>
    <col min="25" max="27" width="10" style="1" bestFit="1" customWidth="1"/>
    <col min="28" max="16384" width="9.140625" style="1"/>
  </cols>
  <sheetData>
    <row r="1" spans="1:23" ht="16.5" customHeight="1" x14ac:dyDescent="0.25">
      <c r="A1" s="155" t="s">
        <v>148</v>
      </c>
      <c r="B1" s="155"/>
      <c r="C1" s="155"/>
      <c r="D1" s="155"/>
      <c r="E1" s="155"/>
      <c r="F1" s="155"/>
      <c r="G1" s="155"/>
      <c r="H1" s="155"/>
      <c r="I1" s="155"/>
      <c r="J1" s="155"/>
      <c r="K1" s="155"/>
      <c r="L1" s="155"/>
      <c r="M1" s="48"/>
    </row>
    <row r="2" spans="1:23" s="18" customFormat="1" ht="12.75" customHeight="1" x14ac:dyDescent="0.2">
      <c r="A2" s="162" t="s">
        <v>66</v>
      </c>
      <c r="B2" s="162"/>
      <c r="C2" s="157" t="s">
        <v>167</v>
      </c>
      <c r="D2" s="157"/>
      <c r="E2" s="157"/>
      <c r="F2" s="157"/>
      <c r="G2" s="157"/>
      <c r="H2" s="157"/>
      <c r="I2" s="157"/>
      <c r="J2" s="157"/>
      <c r="K2" s="18" t="s">
        <v>147</v>
      </c>
      <c r="L2" s="92">
        <v>630000</v>
      </c>
      <c r="M2" s="93"/>
      <c r="O2" s="94"/>
      <c r="P2" s="95"/>
      <c r="Q2" s="95"/>
      <c r="R2" s="95"/>
      <c r="S2" s="95"/>
      <c r="T2" s="95"/>
      <c r="U2" s="95"/>
      <c r="V2" s="95"/>
      <c r="W2" s="47"/>
    </row>
    <row r="3" spans="1:23" s="18" customFormat="1" ht="12.75" customHeight="1" x14ac:dyDescent="0.2">
      <c r="A3" s="154" t="s">
        <v>23</v>
      </c>
      <c r="B3" s="154"/>
      <c r="C3" s="156">
        <v>2200</v>
      </c>
      <c r="D3" s="156"/>
      <c r="E3" s="97" t="s">
        <v>121</v>
      </c>
      <c r="G3" s="98">
        <v>8000</v>
      </c>
      <c r="H3" s="97" t="s">
        <v>145</v>
      </c>
      <c r="I3" s="158">
        <v>1950</v>
      </c>
      <c r="J3" s="158"/>
      <c r="K3" s="97" t="s">
        <v>146</v>
      </c>
      <c r="L3" s="98">
        <v>1</v>
      </c>
      <c r="M3" s="99"/>
      <c r="T3" s="95"/>
      <c r="U3" s="95"/>
      <c r="V3" s="95"/>
      <c r="W3" s="47"/>
    </row>
    <row r="4" spans="1:23" ht="15.75" x14ac:dyDescent="0.25">
      <c r="A4" s="160" t="s">
        <v>61</v>
      </c>
      <c r="B4" s="160"/>
      <c r="C4" s="160"/>
      <c r="D4" s="160"/>
      <c r="E4" s="160"/>
      <c r="F4" s="160"/>
      <c r="G4" s="160"/>
      <c r="H4" s="160"/>
      <c r="I4" s="160"/>
      <c r="J4" s="160"/>
      <c r="K4" s="160"/>
      <c r="L4" s="160"/>
      <c r="M4" s="39"/>
    </row>
    <row r="5" spans="1:23" s="18" customFormat="1" ht="12" x14ac:dyDescent="0.2">
      <c r="A5" s="152" t="s">
        <v>151</v>
      </c>
      <c r="B5" s="152"/>
      <c r="C5" s="152"/>
      <c r="D5" s="152"/>
      <c r="E5" s="152"/>
      <c r="F5" s="152"/>
      <c r="G5" s="152"/>
      <c r="H5" s="152"/>
      <c r="I5" s="152"/>
      <c r="J5" s="152"/>
      <c r="K5" s="152"/>
      <c r="L5" s="101"/>
      <c r="M5" s="101"/>
      <c r="O5" s="94"/>
      <c r="P5" s="95"/>
      <c r="Q5" s="95"/>
      <c r="R5" s="95"/>
      <c r="S5" s="95"/>
      <c r="T5" s="95"/>
      <c r="U5" s="95"/>
      <c r="V5" s="95"/>
      <c r="W5" s="47"/>
    </row>
    <row r="6" spans="1:23" s="18" customFormat="1" ht="12" x14ac:dyDescent="0.2">
      <c r="B6" s="96" t="s">
        <v>142</v>
      </c>
      <c r="C6" s="96" t="s">
        <v>143</v>
      </c>
      <c r="D6" s="96" t="s">
        <v>141</v>
      </c>
      <c r="E6" s="96" t="s">
        <v>140</v>
      </c>
      <c r="F6" s="96" t="s">
        <v>0</v>
      </c>
      <c r="G6" s="100" t="s">
        <v>11</v>
      </c>
      <c r="H6" s="152" t="s">
        <v>56</v>
      </c>
      <c r="I6" s="152"/>
      <c r="J6" s="100"/>
      <c r="K6" s="100" t="s">
        <v>152</v>
      </c>
      <c r="L6" s="100" t="s">
        <v>153</v>
      </c>
      <c r="M6" s="102"/>
      <c r="O6" s="94"/>
      <c r="P6" s="95"/>
      <c r="Q6" s="95"/>
      <c r="R6" s="95"/>
      <c r="S6" s="95"/>
      <c r="T6" s="95"/>
      <c r="U6" s="95"/>
      <c r="V6" s="95"/>
      <c r="W6" s="47"/>
    </row>
    <row r="7" spans="1:23" s="18" customFormat="1" ht="12.75" customHeight="1" x14ac:dyDescent="0.2">
      <c r="A7" s="103">
        <v>1</v>
      </c>
      <c r="B7" s="104">
        <v>1</v>
      </c>
      <c r="C7" s="105">
        <v>4</v>
      </c>
      <c r="D7" s="105">
        <v>3</v>
      </c>
      <c r="E7" s="105">
        <v>2</v>
      </c>
      <c r="F7" s="105">
        <v>1800</v>
      </c>
      <c r="G7" s="106">
        <v>3200</v>
      </c>
      <c r="H7" s="151">
        <v>3400</v>
      </c>
      <c r="I7" s="151"/>
      <c r="J7" s="147"/>
      <c r="K7" s="107">
        <f>B7*G7</f>
        <v>3200</v>
      </c>
      <c r="L7" s="108">
        <f t="shared" ref="L7:L13" si="0">H7*B7</f>
        <v>3400</v>
      </c>
      <c r="M7" s="109"/>
      <c r="O7" s="94"/>
      <c r="P7" s="95"/>
      <c r="Q7" s="95"/>
      <c r="R7" s="95"/>
      <c r="S7" s="95"/>
      <c r="T7" s="95"/>
      <c r="U7" s="95"/>
      <c r="V7" s="95"/>
      <c r="W7" s="47"/>
    </row>
    <row r="8" spans="1:23" s="18" customFormat="1" ht="12.75" customHeight="1" x14ac:dyDescent="0.2">
      <c r="A8" s="103">
        <v>2</v>
      </c>
      <c r="B8" s="104">
        <v>1</v>
      </c>
      <c r="C8" s="105">
        <v>0</v>
      </c>
      <c r="D8" s="105">
        <v>1</v>
      </c>
      <c r="E8" s="105">
        <v>0</v>
      </c>
      <c r="F8" s="105">
        <v>400</v>
      </c>
      <c r="G8" s="106">
        <v>1000</v>
      </c>
      <c r="H8" s="151">
        <v>1200</v>
      </c>
      <c r="I8" s="151"/>
      <c r="J8" s="147"/>
      <c r="K8" s="107">
        <f t="shared" ref="K8:K13" si="1">B8*G8</f>
        <v>1000</v>
      </c>
      <c r="L8" s="108">
        <f t="shared" si="0"/>
        <v>1200</v>
      </c>
      <c r="M8" s="109"/>
      <c r="O8" s="94"/>
      <c r="P8" s="95"/>
      <c r="Q8" s="95"/>
      <c r="R8" s="95"/>
      <c r="S8" s="95"/>
      <c r="T8" s="95"/>
      <c r="U8" s="95"/>
      <c r="V8" s="95"/>
      <c r="W8" s="47"/>
    </row>
    <row r="9" spans="1:23" s="18" customFormat="1" ht="12.75" customHeight="1" x14ac:dyDescent="0.2">
      <c r="A9" s="103">
        <v>3</v>
      </c>
      <c r="B9" s="104">
        <v>0</v>
      </c>
      <c r="C9" s="105">
        <v>0</v>
      </c>
      <c r="D9" s="105">
        <v>0</v>
      </c>
      <c r="E9" s="105">
        <v>0</v>
      </c>
      <c r="F9" s="105">
        <v>0</v>
      </c>
      <c r="G9" s="106">
        <v>0</v>
      </c>
      <c r="H9" s="151">
        <v>0</v>
      </c>
      <c r="I9" s="151"/>
      <c r="J9" s="147"/>
      <c r="K9" s="107">
        <f t="shared" si="1"/>
        <v>0</v>
      </c>
      <c r="L9" s="108">
        <f t="shared" si="0"/>
        <v>0</v>
      </c>
      <c r="M9" s="109"/>
      <c r="O9" s="94"/>
      <c r="P9" s="95"/>
      <c r="Q9" s="95"/>
      <c r="R9" s="95"/>
      <c r="S9" s="95"/>
      <c r="T9" s="95"/>
      <c r="U9" s="95"/>
      <c r="V9" s="95"/>
      <c r="W9" s="47"/>
    </row>
    <row r="10" spans="1:23" s="18" customFormat="1" ht="12.75" customHeight="1" x14ac:dyDescent="0.2">
      <c r="A10" s="103">
        <v>4</v>
      </c>
      <c r="B10" s="104">
        <v>0</v>
      </c>
      <c r="C10" s="105">
        <v>0</v>
      </c>
      <c r="D10" s="105">
        <v>0</v>
      </c>
      <c r="E10" s="105">
        <v>0</v>
      </c>
      <c r="F10" s="105">
        <v>0</v>
      </c>
      <c r="G10" s="106">
        <v>0</v>
      </c>
      <c r="H10" s="151">
        <v>0</v>
      </c>
      <c r="I10" s="151"/>
      <c r="J10" s="147"/>
      <c r="K10" s="107">
        <f t="shared" si="1"/>
        <v>0</v>
      </c>
      <c r="L10" s="108">
        <f t="shared" si="0"/>
        <v>0</v>
      </c>
      <c r="M10" s="109"/>
      <c r="O10" s="94"/>
      <c r="P10" s="95"/>
      <c r="Q10" s="95"/>
      <c r="R10" s="95"/>
      <c r="S10" s="95"/>
      <c r="T10" s="95"/>
      <c r="U10" s="95"/>
      <c r="V10" s="95"/>
      <c r="W10" s="47"/>
    </row>
    <row r="11" spans="1:23" s="18" customFormat="1" ht="12" x14ac:dyDescent="0.2">
      <c r="A11" s="103">
        <v>5</v>
      </c>
      <c r="B11" s="104">
        <v>0</v>
      </c>
      <c r="C11" s="105">
        <v>0</v>
      </c>
      <c r="D11" s="105">
        <v>0</v>
      </c>
      <c r="E11" s="105">
        <v>0</v>
      </c>
      <c r="F11" s="105">
        <v>0</v>
      </c>
      <c r="G11" s="106">
        <v>0</v>
      </c>
      <c r="H11" s="151">
        <v>0</v>
      </c>
      <c r="I11" s="151"/>
      <c r="J11" s="147"/>
      <c r="K11" s="107">
        <f t="shared" si="1"/>
        <v>0</v>
      </c>
      <c r="L11" s="108">
        <f t="shared" si="0"/>
        <v>0</v>
      </c>
      <c r="M11" s="102"/>
      <c r="O11" s="94"/>
      <c r="P11" s="95"/>
      <c r="Q11" s="95"/>
      <c r="R11" s="95"/>
      <c r="S11" s="95"/>
      <c r="T11" s="95"/>
      <c r="U11" s="95"/>
      <c r="V11" s="95"/>
      <c r="W11" s="47"/>
    </row>
    <row r="12" spans="1:23" s="18" customFormat="1" ht="12" x14ac:dyDescent="0.2">
      <c r="A12" s="103">
        <v>6</v>
      </c>
      <c r="B12" s="104">
        <v>0</v>
      </c>
      <c r="C12" s="105">
        <v>0</v>
      </c>
      <c r="D12" s="105">
        <v>0</v>
      </c>
      <c r="E12" s="105">
        <v>0</v>
      </c>
      <c r="F12" s="105">
        <v>0</v>
      </c>
      <c r="G12" s="106">
        <v>0</v>
      </c>
      <c r="H12" s="151">
        <v>0</v>
      </c>
      <c r="I12" s="151"/>
      <c r="J12" s="147"/>
      <c r="K12" s="107">
        <f t="shared" si="1"/>
        <v>0</v>
      </c>
      <c r="L12" s="108">
        <f t="shared" si="0"/>
        <v>0</v>
      </c>
      <c r="O12" s="94"/>
      <c r="P12" s="95"/>
      <c r="Q12" s="95"/>
      <c r="R12" s="95"/>
      <c r="S12" s="95"/>
      <c r="T12" s="95"/>
      <c r="U12" s="95"/>
      <c r="V12" s="95"/>
      <c r="W12" s="47"/>
    </row>
    <row r="13" spans="1:23" s="18" customFormat="1" ht="12" x14ac:dyDescent="0.2">
      <c r="A13" s="103">
        <v>7</v>
      </c>
      <c r="B13" s="104">
        <v>0</v>
      </c>
      <c r="C13" s="105">
        <v>0</v>
      </c>
      <c r="D13" s="105">
        <v>0</v>
      </c>
      <c r="E13" s="105">
        <v>0</v>
      </c>
      <c r="F13" s="105">
        <v>0</v>
      </c>
      <c r="G13" s="106">
        <v>0</v>
      </c>
      <c r="H13" s="151">
        <v>0</v>
      </c>
      <c r="I13" s="151"/>
      <c r="J13" s="147"/>
      <c r="K13" s="107">
        <f t="shared" si="1"/>
        <v>0</v>
      </c>
      <c r="L13" s="108">
        <f t="shared" si="0"/>
        <v>0</v>
      </c>
      <c r="O13" s="94"/>
      <c r="P13" s="95"/>
      <c r="Q13" s="95"/>
      <c r="R13" s="95"/>
      <c r="S13" s="95"/>
      <c r="T13" s="95"/>
      <c r="U13" s="95"/>
      <c r="V13" s="95"/>
      <c r="W13" s="47"/>
    </row>
    <row r="14" spans="1:23" s="18" customFormat="1" ht="12" x14ac:dyDescent="0.2">
      <c r="A14" s="44" t="s">
        <v>175</v>
      </c>
      <c r="B14" s="96"/>
      <c r="C14" s="96"/>
      <c r="D14" s="96"/>
      <c r="E14" s="96"/>
      <c r="F14" s="96"/>
      <c r="K14" s="110">
        <f>SUM(K7:K13)</f>
        <v>4200</v>
      </c>
      <c r="L14" s="111">
        <f>SUM(L7:L13)</f>
        <v>4600</v>
      </c>
      <c r="O14" s="94"/>
      <c r="P14" s="95"/>
      <c r="Q14" s="95"/>
      <c r="R14" s="95"/>
      <c r="S14" s="95"/>
      <c r="T14" s="95"/>
      <c r="U14" s="95"/>
      <c r="V14" s="95"/>
      <c r="W14" s="47"/>
    </row>
    <row r="15" spans="1:23" s="18" customFormat="1" ht="12" x14ac:dyDescent="0.2">
      <c r="C15" s="173" t="s">
        <v>187</v>
      </c>
      <c r="D15" s="174"/>
      <c r="E15" s="174"/>
      <c r="F15" s="174"/>
      <c r="G15" s="174"/>
      <c r="H15" s="174"/>
      <c r="I15" s="174"/>
      <c r="J15" s="175"/>
      <c r="K15" s="112">
        <f>(L2/(K14*12))/100</f>
        <v>0.125</v>
      </c>
      <c r="L15" s="113">
        <f>(L2/(L14*12))/100</f>
        <v>0.11413043478260869</v>
      </c>
      <c r="O15" s="94"/>
      <c r="P15" s="95"/>
      <c r="Q15" s="95"/>
      <c r="R15" s="95"/>
      <c r="S15" s="95"/>
      <c r="T15" s="95"/>
      <c r="U15" s="95"/>
      <c r="V15" s="95"/>
      <c r="W15" s="47"/>
    </row>
    <row r="16" spans="1:23" s="18" customFormat="1" ht="12" x14ac:dyDescent="0.2">
      <c r="A16" s="18" t="s">
        <v>25</v>
      </c>
      <c r="C16" s="149">
        <v>0.05</v>
      </c>
      <c r="D16" s="18" t="s">
        <v>54</v>
      </c>
      <c r="F16" s="114"/>
      <c r="K16" s="115">
        <f>-K14*C16</f>
        <v>-210</v>
      </c>
      <c r="L16" s="116">
        <f>-L14*C16</f>
        <v>-230</v>
      </c>
      <c r="O16" s="94"/>
      <c r="P16" s="95"/>
      <c r="Q16" s="95"/>
      <c r="R16" s="95"/>
      <c r="S16" s="95"/>
      <c r="T16" s="95"/>
      <c r="U16" s="95"/>
      <c r="V16" s="95"/>
      <c r="W16" s="47"/>
    </row>
    <row r="17" spans="1:23" s="18" customFormat="1" ht="12" x14ac:dyDescent="0.2">
      <c r="A17" s="18" t="s">
        <v>176</v>
      </c>
      <c r="K17" s="117">
        <v>0</v>
      </c>
      <c r="L17" s="148">
        <f>K17</f>
        <v>0</v>
      </c>
      <c r="O17" s="94"/>
      <c r="P17" s="95"/>
      <c r="Q17" s="95"/>
      <c r="R17" s="95"/>
      <c r="S17" s="95"/>
      <c r="T17" s="95"/>
      <c r="U17" s="95"/>
      <c r="V17" s="95"/>
      <c r="W17" s="47"/>
    </row>
    <row r="18" spans="1:23" s="18" customFormat="1" ht="12" x14ac:dyDescent="0.2">
      <c r="A18" s="18" t="s">
        <v>177</v>
      </c>
      <c r="K18" s="117">
        <v>0</v>
      </c>
      <c r="L18" s="148">
        <f>K18</f>
        <v>0</v>
      </c>
      <c r="O18" s="94"/>
      <c r="P18" s="95"/>
      <c r="Q18" s="95"/>
      <c r="R18" s="95"/>
      <c r="S18" s="95"/>
      <c r="T18" s="95"/>
      <c r="U18" s="95"/>
      <c r="V18" s="95"/>
      <c r="W18" s="47"/>
    </row>
    <row r="19" spans="1:23" s="18" customFormat="1" ht="12" x14ac:dyDescent="0.2">
      <c r="A19" s="18" t="s">
        <v>186</v>
      </c>
      <c r="K19" s="115">
        <f>K14+K16+K17+K18</f>
        <v>3990</v>
      </c>
      <c r="L19" s="118">
        <f>L14+L16+L17+L18</f>
        <v>4370</v>
      </c>
      <c r="O19" s="94"/>
      <c r="P19" s="95"/>
      <c r="Q19" s="95"/>
      <c r="R19" s="95"/>
      <c r="S19" s="95"/>
      <c r="T19" s="95"/>
      <c r="U19" s="95"/>
      <c r="V19" s="95"/>
      <c r="W19" s="47"/>
    </row>
    <row r="20" spans="1:23" s="18" customFormat="1" ht="12" x14ac:dyDescent="0.2">
      <c r="A20" s="44" t="s">
        <v>60</v>
      </c>
      <c r="K20" s="110">
        <f>+K19*12</f>
        <v>47880</v>
      </c>
      <c r="L20" s="111">
        <f>+L19*12</f>
        <v>52440</v>
      </c>
      <c r="M20" s="119" t="s">
        <v>2</v>
      </c>
      <c r="O20" s="94"/>
      <c r="P20" s="95"/>
      <c r="Q20" s="95"/>
      <c r="R20" s="95"/>
      <c r="S20" s="95"/>
      <c r="T20" s="95"/>
      <c r="U20" s="95"/>
      <c r="V20" s="95"/>
      <c r="W20" s="47"/>
    </row>
    <row r="21" spans="1:23" ht="15.75" x14ac:dyDescent="0.25">
      <c r="A21" s="159" t="s">
        <v>156</v>
      </c>
      <c r="B21" s="159"/>
      <c r="C21" s="159"/>
      <c r="D21" s="159"/>
      <c r="E21" s="159"/>
      <c r="F21" s="159"/>
      <c r="G21" s="159"/>
      <c r="H21" s="159"/>
      <c r="I21" s="159"/>
      <c r="J21" s="159"/>
      <c r="K21" s="159"/>
      <c r="L21" s="159"/>
    </row>
    <row r="22" spans="1:23" s="18" customFormat="1" ht="12" x14ac:dyDescent="0.2">
      <c r="A22" s="44" t="s">
        <v>8</v>
      </c>
      <c r="H22" s="120"/>
      <c r="I22" s="120"/>
      <c r="J22" s="120"/>
      <c r="K22" s="164" t="s">
        <v>10</v>
      </c>
      <c r="L22" s="164"/>
      <c r="O22" s="94"/>
      <c r="P22" s="95"/>
      <c r="Q22" s="95"/>
      <c r="R22" s="95"/>
      <c r="S22" s="95"/>
      <c r="T22" s="95"/>
      <c r="U22" s="95"/>
      <c r="V22" s="95"/>
      <c r="W22" s="47"/>
    </row>
    <row r="23" spans="1:23" s="18" customFormat="1" ht="12.75" customHeight="1" x14ac:dyDescent="0.2">
      <c r="A23" s="18" t="s">
        <v>183</v>
      </c>
      <c r="K23" s="121">
        <f>-L2*0.0035</f>
        <v>-2205</v>
      </c>
      <c r="L23" s="165" t="s">
        <v>137</v>
      </c>
      <c r="M23" s="97"/>
      <c r="O23" s="94"/>
      <c r="P23" s="95"/>
      <c r="Q23" s="95"/>
      <c r="R23" s="95"/>
      <c r="S23" s="95"/>
      <c r="T23" s="95"/>
      <c r="U23" s="95"/>
      <c r="V23" s="95"/>
      <c r="W23" s="47"/>
    </row>
    <row r="24" spans="1:23" s="18" customFormat="1" ht="12" x14ac:dyDescent="0.2">
      <c r="A24" s="18" t="s">
        <v>184</v>
      </c>
      <c r="K24" s="121">
        <f>-L2*0.0115</f>
        <v>-7245</v>
      </c>
      <c r="L24" s="165"/>
      <c r="M24" s="122"/>
      <c r="O24" s="94"/>
      <c r="P24" s="95"/>
      <c r="Q24" s="95"/>
      <c r="R24" s="95"/>
      <c r="S24" s="95"/>
      <c r="T24" s="95"/>
      <c r="U24" s="95"/>
      <c r="V24" s="95"/>
      <c r="W24" s="47"/>
    </row>
    <row r="25" spans="1:23" s="18" customFormat="1" ht="12" x14ac:dyDescent="0.2">
      <c r="A25" s="18" t="s">
        <v>67</v>
      </c>
      <c r="H25" s="123"/>
      <c r="I25" s="123"/>
      <c r="J25" s="123"/>
      <c r="K25" s="121">
        <v>0</v>
      </c>
      <c r="L25" s="165"/>
      <c r="O25" s="94"/>
      <c r="P25" s="95"/>
      <c r="Q25" s="95"/>
      <c r="R25" s="95"/>
      <c r="S25" s="95"/>
      <c r="T25" s="95"/>
      <c r="U25" s="95"/>
      <c r="V25" s="95"/>
      <c r="W25" s="47"/>
    </row>
    <row r="26" spans="1:23" s="18" customFormat="1" ht="12" x14ac:dyDescent="0.2">
      <c r="A26" s="18" t="s">
        <v>16</v>
      </c>
      <c r="K26" s="121">
        <v>0</v>
      </c>
      <c r="L26" s="124"/>
      <c r="O26" s="94"/>
      <c r="P26" s="95"/>
      <c r="Q26" s="95"/>
      <c r="R26" s="95"/>
      <c r="S26" s="95"/>
      <c r="T26" s="95"/>
      <c r="U26" s="95"/>
      <c r="V26" s="95"/>
      <c r="W26" s="47"/>
    </row>
    <row r="27" spans="1:23" s="18" customFormat="1" ht="12" x14ac:dyDescent="0.2">
      <c r="A27" s="18" t="s">
        <v>14</v>
      </c>
      <c r="K27" s="121">
        <v>0</v>
      </c>
      <c r="L27" s="124"/>
      <c r="O27" s="94"/>
      <c r="P27" s="95"/>
      <c r="Q27" s="95"/>
      <c r="R27" s="95"/>
      <c r="S27" s="95"/>
      <c r="T27" s="95"/>
      <c r="U27" s="95"/>
      <c r="V27" s="95"/>
      <c r="W27" s="47"/>
    </row>
    <row r="28" spans="1:23" s="18" customFormat="1" ht="12" x14ac:dyDescent="0.2">
      <c r="A28" s="18" t="s">
        <v>15</v>
      </c>
      <c r="H28" s="123"/>
      <c r="I28" s="123"/>
      <c r="J28" s="123"/>
      <c r="K28" s="121">
        <v>0</v>
      </c>
      <c r="L28" s="124"/>
      <c r="O28" s="94"/>
      <c r="P28" s="95"/>
      <c r="Q28" s="95"/>
      <c r="R28" s="95"/>
      <c r="S28" s="95"/>
      <c r="T28" s="95"/>
      <c r="U28" s="95"/>
      <c r="V28" s="95"/>
      <c r="W28" s="47"/>
    </row>
    <row r="29" spans="1:23" s="18" customFormat="1" ht="12" x14ac:dyDescent="0.2">
      <c r="A29" s="18" t="s">
        <v>3</v>
      </c>
      <c r="H29" s="123"/>
      <c r="I29" s="123"/>
      <c r="J29" s="123"/>
      <c r="K29" s="121">
        <v>0</v>
      </c>
      <c r="L29" s="124"/>
      <c r="O29" s="94"/>
      <c r="P29" s="95"/>
      <c r="Q29" s="95"/>
      <c r="R29" s="95"/>
      <c r="S29" s="95"/>
      <c r="T29" s="95"/>
      <c r="U29" s="95"/>
      <c r="V29" s="95"/>
      <c r="W29" s="47"/>
    </row>
    <row r="30" spans="1:23" s="18" customFormat="1" ht="12" x14ac:dyDescent="0.2">
      <c r="A30" s="18" t="s">
        <v>4</v>
      </c>
      <c r="H30" s="123"/>
      <c r="I30" s="123"/>
      <c r="J30" s="123"/>
      <c r="K30" s="121">
        <v>0</v>
      </c>
      <c r="L30" s="124"/>
      <c r="O30" s="94"/>
      <c r="P30" s="95"/>
      <c r="Q30" s="95"/>
      <c r="R30" s="95"/>
      <c r="S30" s="95"/>
      <c r="T30" s="95"/>
      <c r="U30" s="95"/>
      <c r="V30" s="95"/>
      <c r="W30" s="47"/>
    </row>
    <row r="31" spans="1:23" s="18" customFormat="1" ht="12" x14ac:dyDescent="0.2">
      <c r="A31" s="18" t="s">
        <v>5</v>
      </c>
      <c r="H31" s="123"/>
      <c r="I31" s="123"/>
      <c r="J31" s="123"/>
      <c r="K31" s="121">
        <v>0</v>
      </c>
      <c r="N31" s="125"/>
      <c r="O31" s="94"/>
      <c r="P31" s="95"/>
      <c r="Q31" s="95"/>
      <c r="R31" s="95"/>
      <c r="S31" s="95"/>
      <c r="T31" s="95"/>
      <c r="U31" s="95"/>
      <c r="V31" s="95"/>
      <c r="W31" s="47"/>
    </row>
    <row r="32" spans="1:23" s="18" customFormat="1" ht="12" x14ac:dyDescent="0.2">
      <c r="A32" s="18" t="s">
        <v>6</v>
      </c>
      <c r="H32" s="123"/>
      <c r="I32" s="123"/>
      <c r="J32" s="123"/>
      <c r="K32" s="121">
        <v>0</v>
      </c>
      <c r="L32" s="170" t="s">
        <v>139</v>
      </c>
      <c r="O32" s="94"/>
      <c r="P32" s="95"/>
      <c r="Q32" s="95"/>
      <c r="R32" s="95"/>
      <c r="S32" s="95"/>
      <c r="T32" s="95"/>
      <c r="U32" s="95"/>
      <c r="V32" s="95"/>
      <c r="W32" s="47"/>
    </row>
    <row r="33" spans="1:23" s="18" customFormat="1" ht="12" x14ac:dyDescent="0.2">
      <c r="A33" s="18" t="s">
        <v>129</v>
      </c>
      <c r="H33" s="123"/>
      <c r="I33" s="123"/>
      <c r="J33" s="123"/>
      <c r="K33" s="121">
        <v>0</v>
      </c>
      <c r="L33" s="170"/>
      <c r="O33" s="94"/>
      <c r="P33" s="95"/>
      <c r="Q33" s="95"/>
      <c r="R33" s="95"/>
      <c r="S33" s="95"/>
      <c r="T33" s="95"/>
      <c r="U33" s="95"/>
      <c r="V33" s="95"/>
      <c r="W33" s="47"/>
    </row>
    <row r="34" spans="1:23" s="18" customFormat="1" ht="12" x14ac:dyDescent="0.2">
      <c r="A34" s="18" t="s">
        <v>130</v>
      </c>
      <c r="H34" s="123"/>
      <c r="I34" s="123"/>
      <c r="J34" s="123"/>
      <c r="K34" s="121">
        <v>0</v>
      </c>
      <c r="L34" s="170"/>
      <c r="O34" s="94"/>
      <c r="P34" s="95"/>
      <c r="Q34" s="95"/>
      <c r="R34" s="95"/>
      <c r="S34" s="95"/>
      <c r="T34" s="95"/>
      <c r="U34" s="95"/>
      <c r="V34" s="95"/>
      <c r="W34" s="47"/>
    </row>
    <row r="35" spans="1:23" s="18" customFormat="1" ht="12.75" customHeight="1" x14ac:dyDescent="0.2">
      <c r="A35" s="18" t="s">
        <v>45</v>
      </c>
      <c r="H35" s="123"/>
      <c r="I35" s="123"/>
      <c r="J35" s="123"/>
      <c r="K35" s="121">
        <v>0</v>
      </c>
      <c r="L35" s="170"/>
      <c r="M35" s="122"/>
      <c r="O35" s="94"/>
      <c r="P35" s="95"/>
      <c r="Q35" s="95"/>
      <c r="R35" s="95"/>
      <c r="S35" s="95"/>
      <c r="T35" s="95"/>
      <c r="U35" s="95"/>
      <c r="V35" s="95"/>
      <c r="W35" s="47"/>
    </row>
    <row r="36" spans="1:23" s="18" customFormat="1" ht="12" x14ac:dyDescent="0.2">
      <c r="A36" s="18" t="s">
        <v>13</v>
      </c>
      <c r="H36" s="97"/>
      <c r="I36" s="97"/>
      <c r="J36" s="97"/>
      <c r="K36" s="121">
        <v>0</v>
      </c>
      <c r="L36" s="170"/>
      <c r="O36" s="94"/>
      <c r="P36" s="95"/>
      <c r="Q36" s="95"/>
      <c r="R36" s="95"/>
      <c r="S36" s="95"/>
      <c r="T36" s="95"/>
      <c r="U36" s="95"/>
      <c r="V36" s="95"/>
      <c r="W36" s="47"/>
    </row>
    <row r="37" spans="1:23" s="18" customFormat="1" ht="12" x14ac:dyDescent="0.2">
      <c r="A37" s="18" t="s">
        <v>22</v>
      </c>
      <c r="H37" s="122"/>
      <c r="I37" s="122"/>
      <c r="J37" s="122"/>
      <c r="K37" s="121">
        <v>0</v>
      </c>
      <c r="L37" s="170"/>
      <c r="O37" s="94"/>
      <c r="P37" s="95"/>
      <c r="Q37" s="95"/>
      <c r="R37" s="95"/>
      <c r="S37" s="95"/>
      <c r="T37" s="95"/>
      <c r="U37" s="95"/>
      <c r="V37" s="95"/>
      <c r="W37" s="47"/>
    </row>
    <row r="38" spans="1:23" s="18" customFormat="1" ht="12" x14ac:dyDescent="0.2">
      <c r="A38" s="44" t="s">
        <v>9</v>
      </c>
      <c r="H38" s="126"/>
      <c r="I38" s="126"/>
      <c r="J38" s="126"/>
      <c r="K38" s="127">
        <f>SUM(K23:K37)</f>
        <v>-9450</v>
      </c>
      <c r="L38" s="126">
        <f>K38</f>
        <v>-9450</v>
      </c>
      <c r="O38" s="94"/>
      <c r="P38" s="95"/>
      <c r="Q38" s="95"/>
      <c r="R38" s="95"/>
      <c r="S38" s="95"/>
      <c r="T38" s="95"/>
      <c r="U38" s="95"/>
      <c r="V38" s="95"/>
      <c r="W38" s="47"/>
    </row>
    <row r="39" spans="1:23" s="18" customFormat="1" ht="12" x14ac:dyDescent="0.2">
      <c r="G39" s="123"/>
      <c r="O39" s="94"/>
      <c r="P39" s="95"/>
      <c r="Q39" s="95"/>
      <c r="R39" s="95"/>
      <c r="S39" s="95"/>
      <c r="T39" s="95"/>
      <c r="U39" s="95"/>
      <c r="V39" s="95"/>
      <c r="W39" s="47"/>
    </row>
    <row r="40" spans="1:23" s="18" customFormat="1" ht="12" x14ac:dyDescent="0.2">
      <c r="A40" s="44" t="s">
        <v>65</v>
      </c>
      <c r="H40" s="128"/>
      <c r="I40" s="128"/>
      <c r="J40" s="128"/>
      <c r="K40" s="129">
        <f>+K20+K38</f>
        <v>38430</v>
      </c>
      <c r="L40" s="130">
        <f>+L20+L38</f>
        <v>42990</v>
      </c>
      <c r="O40" s="94"/>
      <c r="P40" s="95"/>
      <c r="Q40" s="95"/>
      <c r="R40" s="95"/>
      <c r="S40" s="95"/>
      <c r="T40" s="95"/>
      <c r="U40" s="95"/>
      <c r="V40" s="95"/>
      <c r="W40" s="47"/>
    </row>
    <row r="41" spans="1:23" s="18" customFormat="1" ht="12" x14ac:dyDescent="0.2">
      <c r="G41" s="173" t="s">
        <v>178</v>
      </c>
      <c r="H41" s="174"/>
      <c r="I41" s="174"/>
      <c r="J41" s="175"/>
      <c r="K41" s="131">
        <f>K40/L2</f>
        <v>6.0999999999999999E-2</v>
      </c>
      <c r="L41" s="131">
        <f>L40/L2</f>
        <v>6.8238095238095237E-2</v>
      </c>
      <c r="O41" s="94"/>
      <c r="P41" s="95"/>
      <c r="Q41" s="95"/>
      <c r="R41" s="95"/>
      <c r="S41" s="95"/>
      <c r="T41" s="95"/>
      <c r="U41" s="95"/>
      <c r="V41" s="95"/>
      <c r="W41" s="47"/>
    </row>
    <row r="42" spans="1:23" ht="15.75" x14ac:dyDescent="0.25">
      <c r="A42" s="171" t="s">
        <v>55</v>
      </c>
      <c r="B42" s="171"/>
      <c r="C42" s="171"/>
      <c r="D42" s="171"/>
      <c r="E42" s="171"/>
      <c r="F42" s="171"/>
      <c r="G42" s="171"/>
      <c r="H42" s="171"/>
      <c r="I42" s="171"/>
      <c r="J42" s="171"/>
      <c r="K42" s="171"/>
      <c r="L42" s="171"/>
    </row>
    <row r="43" spans="1:23" s="37" customFormat="1" ht="9.9499999999999993" customHeight="1" x14ac:dyDescent="0.25">
      <c r="A43" s="53"/>
      <c r="B43" s="53"/>
      <c r="C43" s="53"/>
      <c r="D43" s="53"/>
      <c r="E43" s="53"/>
      <c r="F43" s="53"/>
      <c r="G43" s="53"/>
      <c r="H43" s="53"/>
      <c r="I43" s="53"/>
      <c r="J43" s="53"/>
      <c r="K43" s="53"/>
      <c r="L43" s="53"/>
      <c r="O43" s="54"/>
      <c r="P43" s="55"/>
      <c r="Q43" s="55"/>
      <c r="R43" s="55"/>
      <c r="S43" s="55"/>
      <c r="T43" s="55"/>
      <c r="U43" s="55"/>
      <c r="V43" s="55"/>
      <c r="W43" s="56"/>
    </row>
    <row r="44" spans="1:23" ht="15.75" x14ac:dyDescent="0.25">
      <c r="A44" s="155" t="s">
        <v>28</v>
      </c>
      <c r="B44" s="155"/>
      <c r="C44" s="155"/>
      <c r="D44" s="155"/>
      <c r="E44" s="20"/>
      <c r="F44" s="155" t="s">
        <v>29</v>
      </c>
      <c r="G44" s="155"/>
      <c r="H44" s="155"/>
      <c r="I44" s="40"/>
      <c r="J44" s="171" t="s">
        <v>27</v>
      </c>
      <c r="K44" s="171"/>
      <c r="L44" s="171"/>
      <c r="M44" s="33"/>
      <c r="T44" s="1"/>
    </row>
    <row r="45" spans="1:23" s="18" customFormat="1" ht="12" x14ac:dyDescent="0.2">
      <c r="A45" s="154" t="s">
        <v>40</v>
      </c>
      <c r="B45" s="154"/>
      <c r="C45" s="166" t="s">
        <v>173</v>
      </c>
      <c r="D45" s="166"/>
      <c r="E45" s="132" t="s">
        <v>47</v>
      </c>
      <c r="F45" s="18" t="s">
        <v>37</v>
      </c>
      <c r="H45" s="133">
        <v>6.5000000000000002E-2</v>
      </c>
      <c r="J45" s="44" t="s">
        <v>26</v>
      </c>
      <c r="L45" s="134">
        <f>K14*12</f>
        <v>50400</v>
      </c>
      <c r="P45" s="95"/>
      <c r="Q45" s="95"/>
      <c r="R45" s="95"/>
      <c r="S45" s="95"/>
      <c r="U45" s="95"/>
      <c r="V45" s="135"/>
      <c r="W45" s="47"/>
    </row>
    <row r="46" spans="1:23" s="18" customFormat="1" ht="12" x14ac:dyDescent="0.2">
      <c r="A46" s="154" t="s">
        <v>7</v>
      </c>
      <c r="B46" s="154"/>
      <c r="C46" s="167">
        <f>L2</f>
        <v>630000</v>
      </c>
      <c r="D46" s="167"/>
      <c r="E46" s="136" t="s">
        <v>48</v>
      </c>
      <c r="F46" s="137" t="s">
        <v>43</v>
      </c>
      <c r="H46" s="133">
        <v>0.03</v>
      </c>
      <c r="J46" s="18" t="s">
        <v>1</v>
      </c>
      <c r="L46" s="138">
        <f>(K17+K18)*12</f>
        <v>0</v>
      </c>
      <c r="P46" s="95"/>
      <c r="Q46" s="95"/>
      <c r="R46" s="95"/>
      <c r="S46" s="95"/>
      <c r="U46" s="95"/>
      <c r="V46" s="47"/>
      <c r="W46" s="47"/>
    </row>
    <row r="47" spans="1:23" s="18" customFormat="1" ht="12" x14ac:dyDescent="0.2">
      <c r="A47" s="96" t="s">
        <v>101</v>
      </c>
      <c r="C47" s="168">
        <v>0.2</v>
      </c>
      <c r="D47" s="168"/>
      <c r="E47" s="136" t="s">
        <v>24</v>
      </c>
      <c r="F47" s="18" t="s">
        <v>30</v>
      </c>
      <c r="H47" s="133">
        <v>0.02</v>
      </c>
      <c r="J47" s="18" t="s">
        <v>32</v>
      </c>
      <c r="L47" s="138">
        <f>K16*12</f>
        <v>-2520</v>
      </c>
      <c r="P47" s="95"/>
      <c r="Q47" s="95"/>
      <c r="R47" s="95"/>
      <c r="S47" s="95"/>
      <c r="T47" s="47"/>
      <c r="U47" s="95"/>
      <c r="V47" s="135"/>
      <c r="W47" s="47"/>
    </row>
    <row r="48" spans="1:23" s="18" customFormat="1" ht="12" x14ac:dyDescent="0.2">
      <c r="A48" s="154" t="s">
        <v>102</v>
      </c>
      <c r="B48" s="154"/>
      <c r="C48" s="172">
        <v>30</v>
      </c>
      <c r="D48" s="172"/>
      <c r="F48" s="18" t="s">
        <v>31</v>
      </c>
      <c r="H48" s="133">
        <v>0.01</v>
      </c>
      <c r="J48" s="102" t="s">
        <v>33</v>
      </c>
      <c r="L48" s="138">
        <f>K38</f>
        <v>-9450</v>
      </c>
      <c r="P48" s="95"/>
      <c r="Q48" s="95"/>
      <c r="R48" s="95"/>
      <c r="S48" s="95"/>
      <c r="T48" s="47"/>
      <c r="U48" s="95"/>
      <c r="W48" s="47"/>
    </row>
    <row r="49" spans="1:23" s="18" customFormat="1" ht="12" x14ac:dyDescent="0.2">
      <c r="A49" s="154" t="s">
        <v>103</v>
      </c>
      <c r="B49" s="154"/>
      <c r="C49" s="168">
        <v>3.5000000000000003E-2</v>
      </c>
      <c r="D49" s="168"/>
      <c r="E49" s="136"/>
      <c r="F49" s="18" t="s">
        <v>53</v>
      </c>
      <c r="H49" s="133">
        <v>0.06</v>
      </c>
      <c r="J49" s="139" t="s">
        <v>34</v>
      </c>
      <c r="L49" s="140">
        <f>L45+L46+L47+L48</f>
        <v>38430</v>
      </c>
      <c r="P49" s="95"/>
      <c r="Q49" s="95"/>
      <c r="R49" s="95"/>
      <c r="S49" s="95"/>
      <c r="T49" s="47"/>
      <c r="U49" s="95"/>
      <c r="W49" s="47"/>
    </row>
    <row r="50" spans="1:23" s="18" customFormat="1" ht="12" x14ac:dyDescent="0.2">
      <c r="A50" s="154" t="s">
        <v>100</v>
      </c>
      <c r="B50" s="154"/>
      <c r="C50" s="168">
        <v>0</v>
      </c>
      <c r="D50" s="168"/>
      <c r="E50" s="136"/>
      <c r="L50" s="138"/>
      <c r="P50" s="95"/>
      <c r="Q50" s="95"/>
      <c r="T50" s="135"/>
      <c r="U50" s="95"/>
      <c r="W50" s="47"/>
    </row>
    <row r="51" spans="1:23" s="18" customFormat="1" ht="12" x14ac:dyDescent="0.2">
      <c r="A51" s="154" t="s">
        <v>20</v>
      </c>
      <c r="B51" s="154"/>
      <c r="C51" s="167">
        <f>C46*C47</f>
        <v>126000</v>
      </c>
      <c r="D51" s="167"/>
      <c r="J51" s="18" t="s">
        <v>51</v>
      </c>
      <c r="L51" s="138">
        <f>IF(OR(C45="Yes",C48&lt;=0),0,((C49/12)*(C46-C51))/(1-((1+(C49/12))^(-C48*12)))*(-12))</f>
        <v>-27158.222718677731</v>
      </c>
      <c r="P51" s="95"/>
      <c r="Q51" s="95"/>
      <c r="T51" s="135"/>
      <c r="U51" s="95"/>
      <c r="V51" s="47"/>
      <c r="W51" s="47"/>
    </row>
    <row r="52" spans="1:23" ht="15.75" x14ac:dyDescent="0.25">
      <c r="A52" s="154" t="s">
        <v>99</v>
      </c>
      <c r="B52" s="154"/>
      <c r="C52" s="167">
        <f>(C46-C51)*C50</f>
        <v>0</v>
      </c>
      <c r="D52" s="167"/>
      <c r="E52" s="18"/>
      <c r="F52" s="161" t="s">
        <v>42</v>
      </c>
      <c r="G52" s="161"/>
      <c r="H52" s="161"/>
      <c r="I52" s="146" t="s">
        <v>49</v>
      </c>
      <c r="J52" s="18" t="s">
        <v>44</v>
      </c>
      <c r="L52" s="138">
        <f>IF(L3&gt;0,-905-295*L3,"No. Units")</f>
        <v>-1200</v>
      </c>
      <c r="O52" s="1"/>
      <c r="V52" s="1"/>
    </row>
    <row r="53" spans="1:23" s="18" customFormat="1" ht="12" x14ac:dyDescent="0.2">
      <c r="A53" s="153" t="s">
        <v>98</v>
      </c>
      <c r="B53" s="153"/>
      <c r="C53" s="177">
        <f>C51+C52</f>
        <v>126000</v>
      </c>
      <c r="D53" s="177"/>
      <c r="F53" s="18" t="s">
        <v>117</v>
      </c>
      <c r="H53" s="141" t="str">
        <f>IF(L3&gt;1,"Yes","No")</f>
        <v>No</v>
      </c>
      <c r="L53" s="138"/>
      <c r="P53" s="95"/>
      <c r="Q53" s="95"/>
      <c r="R53" s="95"/>
      <c r="S53" s="95"/>
      <c r="U53" s="95"/>
      <c r="W53" s="47"/>
    </row>
    <row r="54" spans="1:23" s="18" customFormat="1" ht="12" x14ac:dyDescent="0.2">
      <c r="A54" s="154" t="s">
        <v>71</v>
      </c>
      <c r="B54" s="154"/>
      <c r="C54" s="151">
        <v>20000</v>
      </c>
      <c r="D54" s="151"/>
      <c r="F54" s="142" t="s">
        <v>138</v>
      </c>
      <c r="G54" s="142"/>
      <c r="H54" s="96"/>
      <c r="J54" s="44" t="s">
        <v>21</v>
      </c>
      <c r="L54" s="140">
        <f>L49+L51+L52</f>
        <v>10071.777281322269</v>
      </c>
      <c r="P54" s="95"/>
      <c r="Q54" s="95"/>
      <c r="R54" s="95"/>
      <c r="S54" s="95"/>
      <c r="U54" s="95"/>
      <c r="V54" s="135"/>
      <c r="W54" s="47"/>
    </row>
    <row r="55" spans="1:23" s="18" customFormat="1" ht="12" x14ac:dyDescent="0.2">
      <c r="A55" s="153" t="s">
        <v>41</v>
      </c>
      <c r="B55" s="153"/>
      <c r="C55" s="169">
        <f>IF(C45="No",(C51+C54+C52),C54+C46)</f>
        <v>146000</v>
      </c>
      <c r="D55" s="169"/>
      <c r="E55" s="143"/>
      <c r="F55" s="137" t="s">
        <v>43</v>
      </c>
      <c r="H55" s="141" t="str">
        <f>IF(H53="Yes","No","Yes")</f>
        <v>Yes</v>
      </c>
      <c r="J55" s="44" t="s">
        <v>35</v>
      </c>
      <c r="L55" s="140">
        <f>L54/12</f>
        <v>839.31477344352243</v>
      </c>
      <c r="P55" s="95"/>
      <c r="Q55" s="95"/>
      <c r="R55" s="95"/>
      <c r="S55" s="95"/>
      <c r="U55" s="95"/>
      <c r="V55" s="135"/>
      <c r="W55" s="47"/>
    </row>
    <row r="56" spans="1:23" s="18" customFormat="1" ht="12.75" customHeight="1" x14ac:dyDescent="0.2">
      <c r="A56" s="153" t="s">
        <v>36</v>
      </c>
      <c r="B56" s="153"/>
      <c r="C56" s="178">
        <v>700000</v>
      </c>
      <c r="D56" s="178"/>
      <c r="E56" s="18" t="s">
        <v>50</v>
      </c>
      <c r="F56" s="142" t="s">
        <v>144</v>
      </c>
      <c r="G56" s="142"/>
      <c r="J56" s="44" t="s">
        <v>46</v>
      </c>
      <c r="L56" s="144">
        <f>L54/C55</f>
        <v>6.8984775899467596E-2</v>
      </c>
      <c r="O56" s="114"/>
      <c r="P56" s="95"/>
      <c r="Q56" s="95"/>
      <c r="R56" s="95"/>
      <c r="S56" s="95"/>
      <c r="U56" s="95"/>
      <c r="V56" s="145"/>
      <c r="W56" s="47"/>
    </row>
    <row r="57" spans="1:23" ht="9.9499999999999993" customHeight="1" x14ac:dyDescent="0.2">
      <c r="A57" s="58"/>
      <c r="B57" s="58"/>
      <c r="C57" s="91"/>
      <c r="D57" s="91"/>
      <c r="E57" s="3"/>
      <c r="F57" s="57"/>
      <c r="G57" s="57"/>
      <c r="K57" s="4"/>
      <c r="L57" s="61"/>
      <c r="O57" s="5"/>
      <c r="T57" s="1"/>
      <c r="V57" s="13"/>
    </row>
    <row r="58" spans="1:23" ht="12.75" customHeight="1" x14ac:dyDescent="0.2">
      <c r="A58" s="176" t="s">
        <v>114</v>
      </c>
      <c r="B58" s="176"/>
      <c r="C58" s="176"/>
      <c r="D58" s="176"/>
      <c r="E58" s="176"/>
      <c r="F58" s="176"/>
      <c r="G58" s="176"/>
      <c r="H58" s="176"/>
      <c r="I58" s="176"/>
      <c r="J58" s="176"/>
      <c r="K58" s="176"/>
      <c r="L58" s="176"/>
      <c r="M58" s="21"/>
    </row>
    <row r="59" spans="1:23" ht="9.9499999999999993" customHeight="1" x14ac:dyDescent="0.2">
      <c r="A59" s="87"/>
      <c r="B59" s="87"/>
      <c r="C59" s="87"/>
      <c r="D59" s="87"/>
      <c r="E59" s="87"/>
      <c r="F59" s="87"/>
      <c r="G59" s="87"/>
      <c r="H59" s="87"/>
      <c r="I59" s="87"/>
      <c r="J59" s="87"/>
      <c r="K59" s="87"/>
      <c r="L59" s="87"/>
      <c r="M59" s="21"/>
    </row>
    <row r="60" spans="1:23" ht="12.75" customHeight="1" x14ac:dyDescent="0.2">
      <c r="A60" s="43" t="s">
        <v>47</v>
      </c>
      <c r="B60" s="44" t="s">
        <v>106</v>
      </c>
      <c r="C60" s="18"/>
      <c r="D60" s="18"/>
      <c r="E60" s="18"/>
      <c r="F60" s="18"/>
      <c r="G60" s="18"/>
      <c r="H60" s="18"/>
      <c r="I60" s="18"/>
      <c r="J60" s="18"/>
      <c r="K60" s="18"/>
      <c r="L60" s="18"/>
      <c r="M60" s="18"/>
      <c r="O60" s="1"/>
      <c r="P60" s="1"/>
    </row>
    <row r="61" spans="1:23" ht="12.75" customHeight="1" x14ac:dyDescent="0.2">
      <c r="A61" s="18"/>
      <c r="B61" s="44" t="s">
        <v>107</v>
      </c>
      <c r="C61" s="18"/>
      <c r="D61" s="18"/>
      <c r="E61" s="18"/>
      <c r="F61" s="18"/>
      <c r="G61" s="18"/>
      <c r="H61" s="18"/>
      <c r="I61" s="18"/>
      <c r="J61" s="18"/>
      <c r="K61" s="18"/>
      <c r="L61" s="18"/>
      <c r="M61" s="18"/>
      <c r="O61" s="1"/>
      <c r="P61" s="1"/>
    </row>
    <row r="62" spans="1:23" ht="12.75" customHeight="1" x14ac:dyDescent="0.2">
      <c r="A62" s="43" t="s">
        <v>48</v>
      </c>
      <c r="B62" s="45" t="s">
        <v>108</v>
      </c>
      <c r="C62" s="18"/>
      <c r="D62" s="18"/>
      <c r="E62" s="18"/>
      <c r="F62" s="18"/>
      <c r="G62" s="18"/>
      <c r="H62" s="18"/>
      <c r="I62" s="18"/>
      <c r="J62" s="18"/>
      <c r="K62" s="18"/>
      <c r="L62" s="18"/>
      <c r="M62" s="18"/>
      <c r="O62" s="1"/>
      <c r="P62" s="1"/>
    </row>
    <row r="63" spans="1:23" ht="12.75" customHeight="1" x14ac:dyDescent="0.2">
      <c r="A63" s="43" t="s">
        <v>24</v>
      </c>
      <c r="B63" s="45" t="s">
        <v>111</v>
      </c>
      <c r="C63" s="18"/>
      <c r="D63" s="18"/>
      <c r="E63" s="18"/>
      <c r="F63" s="18"/>
      <c r="G63" s="18"/>
      <c r="H63" s="18"/>
      <c r="I63" s="18"/>
      <c r="J63" s="18"/>
      <c r="K63" s="18"/>
      <c r="L63" s="18"/>
      <c r="M63" s="18"/>
      <c r="O63" s="1"/>
      <c r="P63" s="1"/>
    </row>
    <row r="64" spans="1:23" ht="12.75" customHeight="1" x14ac:dyDescent="0.2">
      <c r="A64" s="18"/>
      <c r="B64" s="45" t="s">
        <v>112</v>
      </c>
      <c r="C64" s="18"/>
      <c r="D64" s="18"/>
      <c r="E64" s="18"/>
      <c r="F64" s="18"/>
      <c r="G64" s="18"/>
      <c r="H64" s="18"/>
      <c r="I64" s="18"/>
      <c r="J64" s="18"/>
      <c r="K64" s="18"/>
      <c r="L64" s="18"/>
      <c r="M64" s="18"/>
      <c r="O64" s="1"/>
      <c r="P64" s="1"/>
    </row>
    <row r="65" spans="1:16" ht="12.75" customHeight="1" x14ac:dyDescent="0.2">
      <c r="A65" s="43" t="s">
        <v>49</v>
      </c>
      <c r="B65" s="45" t="s">
        <v>109</v>
      </c>
      <c r="C65" s="18"/>
      <c r="D65" s="46"/>
      <c r="E65" s="46"/>
      <c r="F65" s="46"/>
      <c r="G65" s="47"/>
      <c r="H65" s="47"/>
      <c r="I65" s="47"/>
      <c r="J65" s="47"/>
      <c r="K65" s="18"/>
      <c r="L65" s="47"/>
      <c r="M65" s="18"/>
      <c r="O65" s="1"/>
      <c r="P65" s="1"/>
    </row>
    <row r="66" spans="1:16" ht="12.75" customHeight="1" x14ac:dyDescent="0.2">
      <c r="A66" s="43"/>
      <c r="B66" s="45" t="s">
        <v>113</v>
      </c>
      <c r="C66" s="18"/>
      <c r="D66" s="46"/>
      <c r="E66" s="46"/>
      <c r="F66" s="46"/>
      <c r="G66" s="47"/>
      <c r="H66" s="47"/>
      <c r="I66" s="47"/>
      <c r="J66" s="47"/>
      <c r="K66" s="18"/>
      <c r="L66" s="47"/>
      <c r="M66" s="18"/>
      <c r="O66" s="1"/>
      <c r="P66" s="1"/>
    </row>
    <row r="67" spans="1:16" ht="12.75" customHeight="1" x14ac:dyDescent="0.2">
      <c r="A67" s="43" t="s">
        <v>50</v>
      </c>
      <c r="B67" s="44" t="s">
        <v>69</v>
      </c>
      <c r="C67" s="18"/>
      <c r="D67" s="18"/>
      <c r="E67" s="18"/>
      <c r="F67" s="18"/>
      <c r="G67" s="18"/>
      <c r="H67" s="18"/>
      <c r="I67" s="18"/>
      <c r="J67" s="18"/>
      <c r="K67" s="18"/>
      <c r="L67" s="18"/>
      <c r="M67" s="18"/>
      <c r="O67" s="1"/>
      <c r="P67" s="1"/>
    </row>
    <row r="68" spans="1:16" ht="9.9499999999999993" customHeight="1" x14ac:dyDescent="0.2">
      <c r="A68" s="16"/>
      <c r="B68" s="4"/>
      <c r="O68" s="1"/>
      <c r="P68" s="1"/>
    </row>
    <row r="69" spans="1:16" ht="12.75" customHeight="1" x14ac:dyDescent="0.2">
      <c r="A69" s="4" t="s">
        <v>12</v>
      </c>
      <c r="B69" s="4"/>
      <c r="C69" s="4"/>
      <c r="D69" s="4"/>
      <c r="E69" s="4"/>
      <c r="F69" s="4"/>
      <c r="G69" s="4"/>
      <c r="H69" s="4"/>
      <c r="I69" s="4"/>
      <c r="J69" s="4"/>
      <c r="K69" s="4"/>
      <c r="L69" s="4"/>
      <c r="M69" s="4"/>
      <c r="N69" s="4"/>
      <c r="O69" s="4"/>
      <c r="P69" s="4"/>
    </row>
    <row r="70" spans="1:16" ht="12.75" customHeight="1" x14ac:dyDescent="0.2">
      <c r="A70" s="188" t="s">
        <v>192</v>
      </c>
      <c r="B70" s="3"/>
      <c r="C70" s="3"/>
      <c r="D70" s="3"/>
      <c r="E70" s="3"/>
      <c r="F70" s="3"/>
      <c r="G70" s="3"/>
      <c r="H70" s="3"/>
      <c r="I70" s="3"/>
      <c r="J70" s="3"/>
      <c r="K70" s="3"/>
      <c r="L70" s="3"/>
      <c r="M70" s="3"/>
      <c r="N70" s="3"/>
      <c r="O70" s="3"/>
      <c r="P70" s="3"/>
    </row>
    <row r="71" spans="1:16" ht="12.75" customHeight="1" x14ac:dyDescent="0.2">
      <c r="A71" s="49" t="s">
        <v>52</v>
      </c>
      <c r="B71" s="3"/>
      <c r="C71" s="3"/>
      <c r="D71" s="3"/>
      <c r="E71" s="3"/>
      <c r="F71" s="3"/>
      <c r="G71" s="3"/>
      <c r="H71" s="3"/>
      <c r="I71" s="3"/>
      <c r="J71" s="3"/>
      <c r="K71" s="3"/>
      <c r="L71" s="3"/>
      <c r="M71" s="3"/>
      <c r="N71" s="3"/>
      <c r="O71" s="3"/>
      <c r="P71" s="3"/>
    </row>
    <row r="72" spans="1:16" ht="12.75" customHeight="1" x14ac:dyDescent="0.2">
      <c r="A72" s="163" t="s">
        <v>110</v>
      </c>
      <c r="B72" s="163"/>
      <c r="C72" s="163"/>
      <c r="D72" s="163"/>
      <c r="E72" s="163"/>
      <c r="F72" s="163"/>
      <c r="G72" s="163"/>
      <c r="H72" s="163"/>
      <c r="I72" s="163"/>
      <c r="J72" s="163"/>
      <c r="K72" s="163"/>
      <c r="L72" s="163"/>
      <c r="M72" s="22"/>
      <c r="N72" s="22"/>
      <c r="O72" s="22"/>
      <c r="P72" s="22"/>
    </row>
    <row r="73" spans="1:16" ht="12.75" customHeight="1" x14ac:dyDescent="0.2"/>
    <row r="87" spans="1:23" s="6" customFormat="1" ht="15.75" x14ac:dyDescent="0.25">
      <c r="A87" s="1"/>
      <c r="B87" s="1"/>
      <c r="C87" s="1"/>
      <c r="D87" s="1"/>
      <c r="E87" s="1"/>
      <c r="F87" s="1"/>
      <c r="G87" s="1"/>
      <c r="H87" s="1"/>
      <c r="I87" s="1"/>
      <c r="J87" s="1"/>
      <c r="K87" s="1"/>
      <c r="L87" s="1"/>
      <c r="M87" s="1"/>
      <c r="N87" s="1"/>
      <c r="P87" s="10"/>
      <c r="Q87" s="10"/>
      <c r="R87" s="10"/>
      <c r="S87" s="10"/>
      <c r="T87" s="10"/>
      <c r="U87" s="10"/>
      <c r="V87" s="10"/>
      <c r="W87" s="11"/>
    </row>
    <row r="88" spans="1:23" s="6" customFormat="1" ht="15.75" x14ac:dyDescent="0.25">
      <c r="A88" s="1"/>
      <c r="B88" s="1"/>
      <c r="C88" s="1"/>
      <c r="D88" s="1"/>
      <c r="E88" s="1"/>
      <c r="F88" s="1"/>
      <c r="G88" s="1"/>
      <c r="H88" s="1"/>
      <c r="I88" s="1"/>
      <c r="J88" s="1"/>
      <c r="K88" s="1"/>
      <c r="L88" s="1"/>
      <c r="M88" s="1"/>
      <c r="N88" s="1"/>
      <c r="P88" s="10"/>
      <c r="Q88" s="10"/>
      <c r="R88" s="10"/>
      <c r="S88" s="10"/>
      <c r="T88" s="10"/>
      <c r="U88" s="10"/>
      <c r="V88" s="10"/>
      <c r="W88" s="11"/>
    </row>
  </sheetData>
  <sheetProtection algorithmName="SHA-512" hashValue="yekbSqsjesEhOhD6Wpy0ODS60bv+G69vH9ZM0NXN39+dNyJ5TpaXoAMr3lF/oISwIrO5MuJ6RMoDHbbDxroqXw==" saltValue="xzLSOahHTVplkcxQOxJXKA==" spinCount="100000" sheet="1" selectLockedCells="1"/>
  <protectedRanges>
    <protectedRange password="EACF" sqref="C54 H45:H48 C46:C51 H53 H55" name="Range1_1_3"/>
  </protectedRanges>
  <mergeCells count="52">
    <mergeCell ref="A58:L58"/>
    <mergeCell ref="C53:D53"/>
    <mergeCell ref="C54:D54"/>
    <mergeCell ref="C49:D49"/>
    <mergeCell ref="C51:D51"/>
    <mergeCell ref="C52:D52"/>
    <mergeCell ref="C56:D56"/>
    <mergeCell ref="A52:B52"/>
    <mergeCell ref="A55:B55"/>
    <mergeCell ref="A56:B56"/>
    <mergeCell ref="A72:L72"/>
    <mergeCell ref="K22:L22"/>
    <mergeCell ref="L23:L25"/>
    <mergeCell ref="C45:D45"/>
    <mergeCell ref="C46:D46"/>
    <mergeCell ref="C47:D47"/>
    <mergeCell ref="A45:B45"/>
    <mergeCell ref="C50:D50"/>
    <mergeCell ref="A51:B51"/>
    <mergeCell ref="C55:D55"/>
    <mergeCell ref="L32:L37"/>
    <mergeCell ref="A50:B50"/>
    <mergeCell ref="A42:L42"/>
    <mergeCell ref="C48:D48"/>
    <mergeCell ref="J44:L44"/>
    <mergeCell ref="G41:J41"/>
    <mergeCell ref="A1:L1"/>
    <mergeCell ref="A21:L21"/>
    <mergeCell ref="A4:L4"/>
    <mergeCell ref="F44:H44"/>
    <mergeCell ref="F52:H52"/>
    <mergeCell ref="A46:B46"/>
    <mergeCell ref="A48:B48"/>
    <mergeCell ref="A49:B49"/>
    <mergeCell ref="A2:B2"/>
    <mergeCell ref="A3:B3"/>
    <mergeCell ref="H6:I6"/>
    <mergeCell ref="H7:I7"/>
    <mergeCell ref="H11:I11"/>
    <mergeCell ref="C15:J15"/>
    <mergeCell ref="C3:D3"/>
    <mergeCell ref="H8:I8"/>
    <mergeCell ref="H9:I9"/>
    <mergeCell ref="H10:I10"/>
    <mergeCell ref="C2:J2"/>
    <mergeCell ref="I3:J3"/>
    <mergeCell ref="H13:I13"/>
    <mergeCell ref="A5:K5"/>
    <mergeCell ref="A53:B53"/>
    <mergeCell ref="A54:B54"/>
    <mergeCell ref="A44:D44"/>
    <mergeCell ref="H12:I12"/>
  </mergeCells>
  <phoneticPr fontId="2" type="noConversion"/>
  <pageMargins left="0" right="0" top="0" bottom="0" header="0.5" footer="0.5"/>
  <pageSetup paperSize="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D45"/>
  <sheetViews>
    <sheetView workbookViewId="0">
      <selection activeCell="C28" sqref="C28"/>
    </sheetView>
  </sheetViews>
  <sheetFormatPr defaultRowHeight="12.75" x14ac:dyDescent="0.2"/>
  <cols>
    <col min="1" max="1" width="44.140625" style="1" customWidth="1"/>
    <col min="2" max="11" width="13.42578125" style="1" customWidth="1"/>
    <col min="12" max="16384" width="9.140625" style="1"/>
  </cols>
  <sheetData>
    <row r="1" spans="1:13" ht="18" x14ac:dyDescent="0.25">
      <c r="A1" s="179" t="s">
        <v>170</v>
      </c>
      <c r="B1" s="179"/>
      <c r="C1" s="179"/>
      <c r="D1" s="179"/>
      <c r="E1" s="179"/>
      <c r="F1" s="179"/>
      <c r="G1" s="179"/>
      <c r="H1" s="179"/>
      <c r="I1" s="179"/>
      <c r="J1" s="179"/>
      <c r="K1" s="179"/>
    </row>
    <row r="2" spans="1:13" ht="15" customHeight="1" x14ac:dyDescent="0.25">
      <c r="A2" s="180" t="s">
        <v>114</v>
      </c>
      <c r="B2" s="180"/>
      <c r="C2" s="180"/>
      <c r="D2" s="180"/>
      <c r="E2" s="180"/>
      <c r="F2" s="180"/>
      <c r="G2" s="180"/>
      <c r="H2" s="180"/>
      <c r="I2" s="180"/>
      <c r="J2" s="180"/>
      <c r="K2" s="180"/>
    </row>
    <row r="3" spans="1:13" x14ac:dyDescent="0.2">
      <c r="A3" s="63" t="s">
        <v>75</v>
      </c>
      <c r="B3" s="64" t="s">
        <v>83</v>
      </c>
      <c r="C3" s="64" t="s">
        <v>84</v>
      </c>
      <c r="D3" s="64" t="s">
        <v>85</v>
      </c>
      <c r="E3" s="64" t="s">
        <v>86</v>
      </c>
      <c r="F3" s="64" t="s">
        <v>87</v>
      </c>
      <c r="G3" s="64" t="s">
        <v>88</v>
      </c>
      <c r="H3" s="64" t="s">
        <v>89</v>
      </c>
      <c r="I3" s="64" t="s">
        <v>90</v>
      </c>
      <c r="J3" s="64" t="s">
        <v>91</v>
      </c>
      <c r="K3" s="64" t="s">
        <v>92</v>
      </c>
    </row>
    <row r="4" spans="1:13" x14ac:dyDescent="0.2">
      <c r="A4" s="3" t="s">
        <v>105</v>
      </c>
      <c r="B4" s="23">
        <f>'Property Overview'!K14*12</f>
        <v>50400</v>
      </c>
      <c r="C4" s="23">
        <f>B4*('Property Overview'!H47+1)</f>
        <v>51408</v>
      </c>
      <c r="D4" s="23">
        <f>C4*('Property Overview'!H47+1)</f>
        <v>52436.160000000003</v>
      </c>
      <c r="E4" s="23">
        <f>D4*('Property Overview'!H47+1)</f>
        <v>53484.883200000004</v>
      </c>
      <c r="F4" s="23">
        <f>E4*('Property Overview'!H47+1)</f>
        <v>54554.580864000003</v>
      </c>
      <c r="G4" s="23">
        <f>F4*('Property Overview'!H47+1)^5</f>
        <v>60232.665458564472</v>
      </c>
      <c r="H4" s="23">
        <f>G4*('Property Overview'!H47+1)^5</f>
        <v>66501.729658368757</v>
      </c>
      <c r="I4" s="23">
        <f>H4*('Property Overview'!H47+1)^5</f>
        <v>73423.283095401042</v>
      </c>
      <c r="J4" s="23">
        <f>I4*('Property Overview'!H47+1)^5</f>
        <v>81065.237373551368</v>
      </c>
      <c r="K4" s="23">
        <f>J4*('Property Overview'!H47+1)^5</f>
        <v>89502.572390989255</v>
      </c>
    </row>
    <row r="5" spans="1:13" x14ac:dyDescent="0.2">
      <c r="A5" s="3" t="s">
        <v>1</v>
      </c>
      <c r="B5" s="23">
        <f>('Property Overview'!K17+'Property Overview'!K18)*12</f>
        <v>0</v>
      </c>
      <c r="C5" s="23">
        <f>B5*('Property Overview'!H47+1)</f>
        <v>0</v>
      </c>
      <c r="D5" s="23">
        <f>C5*('Property Overview'!H47+1)</f>
        <v>0</v>
      </c>
      <c r="E5" s="23">
        <f>D5*('Property Overview'!H47+1)</f>
        <v>0</v>
      </c>
      <c r="F5" s="23">
        <f>E5*('Property Overview'!H47+1)</f>
        <v>0</v>
      </c>
      <c r="G5" s="23">
        <f>F5*('Property Overview'!H47+1)^5</f>
        <v>0</v>
      </c>
      <c r="H5" s="23">
        <f>G5*('Property Overview'!H47+1)^5</f>
        <v>0</v>
      </c>
      <c r="I5" s="23">
        <f>H5*('Property Overview'!H47+1)^5</f>
        <v>0</v>
      </c>
      <c r="J5" s="23">
        <f>I5*('Property Overview'!H47+1)^5</f>
        <v>0</v>
      </c>
      <c r="K5" s="23">
        <f>J5*('Property Overview'!H47+1)^5</f>
        <v>0</v>
      </c>
    </row>
    <row r="6" spans="1:13" x14ac:dyDescent="0.2">
      <c r="A6" s="3" t="s">
        <v>76</v>
      </c>
      <c r="B6" s="23">
        <f>-B4*'Property Overview'!C16</f>
        <v>-2520</v>
      </c>
      <c r="C6" s="23">
        <f>-C4*'Property Overview'!C16</f>
        <v>-2570.4</v>
      </c>
      <c r="D6" s="23">
        <f>-D4*'Property Overview'!C16</f>
        <v>-2621.8080000000004</v>
      </c>
      <c r="E6" s="23">
        <f>-E4*'Property Overview'!C16</f>
        <v>-2674.2441600000002</v>
      </c>
      <c r="F6" s="23">
        <f>-F4*'Property Overview'!C16</f>
        <v>-2727.7290432000004</v>
      </c>
      <c r="G6" s="23">
        <f>-G4*'Property Overview'!C16</f>
        <v>-3011.633272928224</v>
      </c>
      <c r="H6" s="23">
        <f>-H4*'Property Overview'!C16</f>
        <v>-3325.0864829184379</v>
      </c>
      <c r="I6" s="23">
        <f>-I4*'Property Overview'!C16</f>
        <v>-3671.1641547700524</v>
      </c>
      <c r="J6" s="23">
        <f>-J4*'Property Overview'!C16</f>
        <v>-4053.2618686775686</v>
      </c>
      <c r="K6" s="23">
        <f>-K4*'Property Overview'!C16</f>
        <v>-4475.1286195494631</v>
      </c>
    </row>
    <row r="7" spans="1:13" s="4" customFormat="1" x14ac:dyDescent="0.2">
      <c r="A7" s="65" t="s">
        <v>77</v>
      </c>
      <c r="B7" s="66">
        <f>B4+B5+B6</f>
        <v>47880</v>
      </c>
      <c r="C7" s="66">
        <f t="shared" ref="C7:K7" si="0">C4+C5+C6</f>
        <v>48837.599999999999</v>
      </c>
      <c r="D7" s="66">
        <f t="shared" si="0"/>
        <v>49814.352000000006</v>
      </c>
      <c r="E7" s="66">
        <f t="shared" si="0"/>
        <v>50810.639040000002</v>
      </c>
      <c r="F7" s="66">
        <f t="shared" si="0"/>
        <v>51826.851820800002</v>
      </c>
      <c r="G7" s="66">
        <f t="shared" si="0"/>
        <v>57221.03218563625</v>
      </c>
      <c r="H7" s="66">
        <f t="shared" si="0"/>
        <v>63176.643175450321</v>
      </c>
      <c r="I7" s="66">
        <f t="shared" si="0"/>
        <v>69752.118940630986</v>
      </c>
      <c r="J7" s="66">
        <f t="shared" si="0"/>
        <v>77011.975504873801</v>
      </c>
      <c r="K7" s="66">
        <f t="shared" si="0"/>
        <v>85027.443771439794</v>
      </c>
    </row>
    <row r="8" spans="1:13" x14ac:dyDescent="0.2">
      <c r="A8" s="3" t="s">
        <v>157</v>
      </c>
      <c r="B8" s="62">
        <v>0</v>
      </c>
      <c r="C8" s="62">
        <v>0</v>
      </c>
      <c r="D8" s="62">
        <v>0</v>
      </c>
      <c r="E8" s="62">
        <v>0</v>
      </c>
      <c r="F8" s="62">
        <v>0</v>
      </c>
      <c r="G8" s="62">
        <v>0</v>
      </c>
      <c r="H8" s="62">
        <v>0</v>
      </c>
      <c r="I8" s="62">
        <v>0</v>
      </c>
      <c r="J8" s="62">
        <v>0</v>
      </c>
      <c r="K8" s="62">
        <v>0</v>
      </c>
      <c r="L8" s="3"/>
    </row>
    <row r="9" spans="1:13" x14ac:dyDescent="0.2">
      <c r="A9" s="65" t="s">
        <v>159</v>
      </c>
      <c r="B9" s="79">
        <f>B7+B8</f>
        <v>47880</v>
      </c>
      <c r="C9" s="79">
        <f t="shared" ref="C9:K9" si="1">C7+C8</f>
        <v>48837.599999999999</v>
      </c>
      <c r="D9" s="79">
        <f t="shared" si="1"/>
        <v>49814.352000000006</v>
      </c>
      <c r="E9" s="79">
        <f t="shared" si="1"/>
        <v>50810.639040000002</v>
      </c>
      <c r="F9" s="79">
        <f t="shared" si="1"/>
        <v>51826.851820800002</v>
      </c>
      <c r="G9" s="79">
        <f t="shared" si="1"/>
        <v>57221.03218563625</v>
      </c>
      <c r="H9" s="79">
        <f t="shared" si="1"/>
        <v>63176.643175450321</v>
      </c>
      <c r="I9" s="79">
        <f t="shared" si="1"/>
        <v>69752.118940630986</v>
      </c>
      <c r="J9" s="79">
        <f t="shared" si="1"/>
        <v>77011.975504873801</v>
      </c>
      <c r="K9" s="79">
        <f t="shared" si="1"/>
        <v>85027.443771439794</v>
      </c>
      <c r="L9" s="3"/>
    </row>
    <row r="10" spans="1:13" x14ac:dyDescent="0.2">
      <c r="A10" s="3" t="s">
        <v>78</v>
      </c>
      <c r="B10" s="23">
        <f>'Property Overview'!K24</f>
        <v>-7245</v>
      </c>
      <c r="C10" s="23">
        <f>B10*('Property Overview'!H48+1)</f>
        <v>-7317.45</v>
      </c>
      <c r="D10" s="23">
        <f>C10*('Property Overview'!H48+1)</f>
        <v>-7390.6244999999999</v>
      </c>
      <c r="E10" s="23">
        <f>D10*('Property Overview'!H48+1)</f>
        <v>-7464.530745</v>
      </c>
      <c r="F10" s="23">
        <f>E10*('Property Overview'!H48+1)</f>
        <v>-7539.1760524500005</v>
      </c>
      <c r="G10" s="23">
        <f>F10*('Property Overview'!H48+1)^5</f>
        <v>-7923.7498005981943</v>
      </c>
      <c r="H10" s="23">
        <f>G10*('Property Overview'!H48+1)^5</f>
        <v>-8327.9406749065729</v>
      </c>
      <c r="I10" s="23">
        <f>H10*('Property Overview'!H48+1)^5</f>
        <v>-8752.7493459633843</v>
      </c>
      <c r="J10" s="23">
        <f>I10*('Property Overview'!H48+1)^5</f>
        <v>-9199.2275286137174</v>
      </c>
      <c r="K10" s="23">
        <f>J10*('Property Overview'!H48+1)^5</f>
        <v>-9668.4805857296014</v>
      </c>
    </row>
    <row r="11" spans="1:13" x14ac:dyDescent="0.2">
      <c r="A11" s="3" t="s">
        <v>73</v>
      </c>
      <c r="B11" s="23">
        <f>'Property Overview'!K23</f>
        <v>-2205</v>
      </c>
      <c r="C11" s="23">
        <f>B11*('Property Overview'!H48+1)</f>
        <v>-2227.0500000000002</v>
      </c>
      <c r="D11" s="23">
        <f>C11*('Property Overview'!H48+1)</f>
        <v>-2249.3205000000003</v>
      </c>
      <c r="E11" s="23">
        <f>D11*('Property Overview'!H48+1)</f>
        <v>-2271.8137050000005</v>
      </c>
      <c r="F11" s="23">
        <f>E11*('Property Overview'!H48+1)</f>
        <v>-2294.5318420500007</v>
      </c>
      <c r="G11" s="23">
        <f>F11*('Property Overview'!H48+1)^5</f>
        <v>-2411.5760262690164</v>
      </c>
      <c r="H11" s="23">
        <f>G11*('Property Overview'!H48+1)^5</f>
        <v>-2534.5906401889579</v>
      </c>
      <c r="I11" s="23">
        <f>H11*('Property Overview'!H48+1)^5</f>
        <v>-2663.8802357279874</v>
      </c>
      <c r="J11" s="23">
        <f>I11*('Property Overview'!H48+1)^5</f>
        <v>-2799.7649000128717</v>
      </c>
      <c r="K11" s="23">
        <f>J11*('Property Overview'!H48+1)^5</f>
        <v>-2942.5810478307494</v>
      </c>
    </row>
    <row r="12" spans="1:13" x14ac:dyDescent="0.2">
      <c r="A12" s="3" t="s">
        <v>79</v>
      </c>
      <c r="B12" s="23">
        <f>'Property Overview'!K25+'Property Overview'!K26+'Property Overview'!K27</f>
        <v>0</v>
      </c>
      <c r="C12" s="23">
        <f>B12*('Property Overview'!H48+1)</f>
        <v>0</v>
      </c>
      <c r="D12" s="23">
        <f>C12*('Property Overview'!H48+1)</f>
        <v>0</v>
      </c>
      <c r="E12" s="23">
        <f>D12*('Property Overview'!H48+1)</f>
        <v>0</v>
      </c>
      <c r="F12" s="23">
        <f>E12*('Property Overview'!H48+1)</f>
        <v>0</v>
      </c>
      <c r="G12" s="23">
        <f>F12*('Property Overview'!H48+1)^5</f>
        <v>0</v>
      </c>
      <c r="H12" s="23">
        <f>G12*('Property Overview'!H48+1)^5</f>
        <v>0</v>
      </c>
      <c r="I12" s="23">
        <f>H12*('Property Overview'!H48+1)^5</f>
        <v>0</v>
      </c>
      <c r="J12" s="23">
        <f>I12*('Property Overview'!H48+1)^5</f>
        <v>0</v>
      </c>
      <c r="K12" s="23">
        <f>J12*('Property Overview'!H48+1)^5</f>
        <v>0</v>
      </c>
    </row>
    <row r="13" spans="1:13" x14ac:dyDescent="0.2">
      <c r="A13" s="3" t="s">
        <v>74</v>
      </c>
      <c r="B13" s="23">
        <f>'Property Overview'!K34</f>
        <v>0</v>
      </c>
      <c r="C13" s="23">
        <f>B13*('Property Overview'!H48+1)</f>
        <v>0</v>
      </c>
      <c r="D13" s="23">
        <f>C13*('Property Overview'!H48+1)</f>
        <v>0</v>
      </c>
      <c r="E13" s="23">
        <f>D13*('Property Overview'!H48+1)</f>
        <v>0</v>
      </c>
      <c r="F13" s="23">
        <f>E13*('Property Overview'!H48+1)</f>
        <v>0</v>
      </c>
      <c r="G13" s="23">
        <f>F13*('Property Overview'!H48+1)^5</f>
        <v>0</v>
      </c>
      <c r="H13" s="23">
        <f>G13*('Property Overview'!H48+1)^5</f>
        <v>0</v>
      </c>
      <c r="I13" s="23">
        <f>H13*('Property Overview'!H48+1)^5</f>
        <v>0</v>
      </c>
      <c r="J13" s="23">
        <f>I13*('Property Overview'!H48+1)^5</f>
        <v>0</v>
      </c>
      <c r="K13" s="23">
        <f>J13*('Property Overview'!H48+1)^5</f>
        <v>0</v>
      </c>
      <c r="L13" s="1" t="s">
        <v>96</v>
      </c>
      <c r="M13" s="2"/>
    </row>
    <row r="14" spans="1:13" x14ac:dyDescent="0.2">
      <c r="A14" s="3" t="s">
        <v>104</v>
      </c>
      <c r="B14" s="23">
        <f>'Property Overview'!K36+'Property Overview'!K35</f>
        <v>0</v>
      </c>
      <c r="C14" s="23">
        <f>C4*B14/B4</f>
        <v>0</v>
      </c>
      <c r="D14" s="23">
        <f>D4*B14/B4</f>
        <v>0</v>
      </c>
      <c r="E14" s="23">
        <f>E4*B14/B4</f>
        <v>0</v>
      </c>
      <c r="F14" s="23">
        <f>F4*B14/B4</f>
        <v>0</v>
      </c>
      <c r="G14" s="23">
        <f>G4*B14/B4</f>
        <v>0</v>
      </c>
      <c r="H14" s="23">
        <f>H4*B14/B4</f>
        <v>0</v>
      </c>
      <c r="I14" s="23">
        <f>I4*B14/B4</f>
        <v>0</v>
      </c>
      <c r="J14" s="23">
        <f>J4*B14/B4</f>
        <v>0</v>
      </c>
      <c r="K14" s="23">
        <f>K4*B14/B4</f>
        <v>0</v>
      </c>
      <c r="M14" s="2"/>
    </row>
    <row r="15" spans="1:13" x14ac:dyDescent="0.2">
      <c r="A15" s="3" t="s">
        <v>97</v>
      </c>
      <c r="B15" s="23">
        <f>'Property Overview'!K28+'Property Overview'!K29+'Property Overview'!K30+'Property Overview'!K31+'Property Overview'!K32+'Property Overview'!K33+'Property Overview'!K37</f>
        <v>0</v>
      </c>
      <c r="C15" s="23">
        <f>B15*('Property Overview'!H48+1)</f>
        <v>0</v>
      </c>
      <c r="D15" s="23">
        <f>C15*('Property Overview'!H48+1)</f>
        <v>0</v>
      </c>
      <c r="E15" s="23">
        <f>D15*('Property Overview'!H48+1)</f>
        <v>0</v>
      </c>
      <c r="F15" s="23">
        <f>E15*('Property Overview'!H48+1)</f>
        <v>0</v>
      </c>
      <c r="G15" s="23">
        <f>F15*('Property Overview'!H48+1)^5</f>
        <v>0</v>
      </c>
      <c r="H15" s="23">
        <f>G15*('Property Overview'!H48+1)^5</f>
        <v>0</v>
      </c>
      <c r="I15" s="23">
        <f>H15*('Property Overview'!H48+1)^5</f>
        <v>0</v>
      </c>
      <c r="J15" s="23">
        <f>I15*('Property Overview'!H48+1)^5</f>
        <v>0</v>
      </c>
      <c r="K15" s="23">
        <f>J15*('Property Overview'!H48+1)^5</f>
        <v>0</v>
      </c>
      <c r="M15" s="2"/>
    </row>
    <row r="16" spans="1:13" s="4" customFormat="1" x14ac:dyDescent="0.2">
      <c r="A16" s="65" t="s">
        <v>80</v>
      </c>
      <c r="B16" s="66">
        <f>SUM(B10:B15)</f>
        <v>-9450</v>
      </c>
      <c r="C16" s="66">
        <f t="shared" ref="C16:K16" si="2">SUM(C10:C15)</f>
        <v>-9544.5</v>
      </c>
      <c r="D16" s="66">
        <f t="shared" si="2"/>
        <v>-9639.9449999999997</v>
      </c>
      <c r="E16" s="66">
        <f t="shared" si="2"/>
        <v>-9736.3444500000005</v>
      </c>
      <c r="F16" s="66">
        <f t="shared" si="2"/>
        <v>-9833.7078945000012</v>
      </c>
      <c r="G16" s="66">
        <f t="shared" si="2"/>
        <v>-10335.325826867211</v>
      </c>
      <c r="H16" s="66">
        <f t="shared" si="2"/>
        <v>-10862.53131509553</v>
      </c>
      <c r="I16" s="66">
        <f t="shared" si="2"/>
        <v>-11416.629581691372</v>
      </c>
      <c r="J16" s="66">
        <f t="shared" si="2"/>
        <v>-11998.992428626589</v>
      </c>
      <c r="K16" s="66">
        <f t="shared" si="2"/>
        <v>-12611.061633560352</v>
      </c>
    </row>
    <row r="17" spans="1:12" x14ac:dyDescent="0.2">
      <c r="A17" s="3" t="s">
        <v>158</v>
      </c>
      <c r="B17" s="62">
        <v>0</v>
      </c>
      <c r="C17" s="62">
        <v>0</v>
      </c>
      <c r="D17" s="62">
        <v>0</v>
      </c>
      <c r="E17" s="62">
        <v>0</v>
      </c>
      <c r="F17" s="62">
        <v>0</v>
      </c>
      <c r="G17" s="62">
        <v>0</v>
      </c>
      <c r="H17" s="62">
        <v>0</v>
      </c>
      <c r="I17" s="62">
        <v>0</v>
      </c>
      <c r="J17" s="62">
        <v>0</v>
      </c>
      <c r="K17" s="62">
        <v>0</v>
      </c>
      <c r="L17" s="3"/>
    </row>
    <row r="18" spans="1:12" x14ac:dyDescent="0.2">
      <c r="A18" s="65" t="s">
        <v>160</v>
      </c>
      <c r="B18" s="79">
        <f>B16+B17</f>
        <v>-9450</v>
      </c>
      <c r="C18" s="79">
        <f t="shared" ref="C18:K18" si="3">C16+C17</f>
        <v>-9544.5</v>
      </c>
      <c r="D18" s="79">
        <f t="shared" si="3"/>
        <v>-9639.9449999999997</v>
      </c>
      <c r="E18" s="79">
        <f t="shared" si="3"/>
        <v>-9736.3444500000005</v>
      </c>
      <c r="F18" s="79">
        <f t="shared" si="3"/>
        <v>-9833.7078945000012</v>
      </c>
      <c r="G18" s="79">
        <f t="shared" si="3"/>
        <v>-10335.325826867211</v>
      </c>
      <c r="H18" s="79">
        <f t="shared" si="3"/>
        <v>-10862.53131509553</v>
      </c>
      <c r="I18" s="79">
        <f t="shared" si="3"/>
        <v>-11416.629581691372</v>
      </c>
      <c r="J18" s="79">
        <f t="shared" si="3"/>
        <v>-11998.992428626589</v>
      </c>
      <c r="K18" s="79">
        <f t="shared" si="3"/>
        <v>-12611.061633560352</v>
      </c>
      <c r="L18" s="3"/>
    </row>
    <row r="19" spans="1:12" s="4" customFormat="1" x14ac:dyDescent="0.2">
      <c r="A19" s="67" t="s">
        <v>165</v>
      </c>
      <c r="B19" s="68">
        <f>B9+B18</f>
        <v>38430</v>
      </c>
      <c r="C19" s="68">
        <f t="shared" ref="C19:K19" si="4">C9+C18</f>
        <v>39293.1</v>
      </c>
      <c r="D19" s="68">
        <f t="shared" si="4"/>
        <v>40174.407000000007</v>
      </c>
      <c r="E19" s="68">
        <f t="shared" si="4"/>
        <v>41074.294590000005</v>
      </c>
      <c r="F19" s="68">
        <f t="shared" si="4"/>
        <v>41993.143926299999</v>
      </c>
      <c r="G19" s="68">
        <f t="shared" si="4"/>
        <v>46885.706358769035</v>
      </c>
      <c r="H19" s="68">
        <f t="shared" si="4"/>
        <v>52314.111860354795</v>
      </c>
      <c r="I19" s="68">
        <f t="shared" si="4"/>
        <v>58335.489358939616</v>
      </c>
      <c r="J19" s="68">
        <f t="shared" si="4"/>
        <v>65012.983076247212</v>
      </c>
      <c r="K19" s="68">
        <f t="shared" si="4"/>
        <v>72416.382137879438</v>
      </c>
    </row>
    <row r="20" spans="1:12" s="4" customFormat="1" x14ac:dyDescent="0.2">
      <c r="A20" s="69" t="s">
        <v>118</v>
      </c>
      <c r="B20" s="70">
        <f t="shared" ref="B20:K20" si="5">B19/B29</f>
        <v>5.3300970873786407E-2</v>
      </c>
      <c r="C20" s="70">
        <f t="shared" si="5"/>
        <v>5.2910736167405034E-2</v>
      </c>
      <c r="D20" s="70">
        <f t="shared" si="5"/>
        <v>5.2521819265013134E-2</v>
      </c>
      <c r="E20" s="70">
        <f t="shared" si="5"/>
        <v>5.2134255350697795E-2</v>
      </c>
      <c r="F20" s="70">
        <f t="shared" si="5"/>
        <v>5.174807833533554E-2</v>
      </c>
      <c r="G20" s="70">
        <f t="shared" si="5"/>
        <v>4.9839098281706747E-2</v>
      </c>
      <c r="H20" s="70">
        <f t="shared" si="5"/>
        <v>4.7969196735738621E-2</v>
      </c>
      <c r="I20" s="70">
        <f t="shared" si="5"/>
        <v>4.6141351523771114E-2</v>
      </c>
      <c r="J20" s="70">
        <f t="shared" si="5"/>
        <v>4.4357946845042365E-2</v>
      </c>
      <c r="K20" s="70">
        <f t="shared" si="5"/>
        <v>4.2620843732643583E-2</v>
      </c>
    </row>
    <row r="21" spans="1:12" x14ac:dyDescent="0.2">
      <c r="A21" s="3" t="s">
        <v>44</v>
      </c>
      <c r="B21" s="23">
        <f>'Property Overview'!L52</f>
        <v>-1200</v>
      </c>
      <c r="C21" s="23">
        <f>B21*('Property Overview'!H47+1)</f>
        <v>-1224</v>
      </c>
      <c r="D21" s="23">
        <f>C21*('Property Overview'!H47+1)</f>
        <v>-1248.48</v>
      </c>
      <c r="E21" s="23">
        <f>D21*('Property Overview'!H47+1)</f>
        <v>-1273.4496000000001</v>
      </c>
      <c r="F21" s="23">
        <f>E21*('Property Overview'!H47+1)</f>
        <v>-1298.9185920000002</v>
      </c>
      <c r="G21" s="23">
        <f>F21*('Property Overview'!H47+1)^5</f>
        <v>-1434.1110823467734</v>
      </c>
      <c r="H21" s="23">
        <f>G21*('Property Overview'!H47+1)^5</f>
        <v>-1583.3745156754469</v>
      </c>
      <c r="I21" s="23">
        <f>H21*('Property Overview'!H47+1)^5</f>
        <v>-1748.1734070333584</v>
      </c>
      <c r="J21" s="23">
        <f>I21*('Property Overview'!H47+1)^5</f>
        <v>-1930.1246993702709</v>
      </c>
      <c r="K21" s="23">
        <f>J21*('Property Overview'!H47+1)^5</f>
        <v>-2131.0136283568872</v>
      </c>
      <c r="L21" s="3"/>
    </row>
    <row r="22" spans="1:12" x14ac:dyDescent="0.2">
      <c r="A22" s="3" t="s">
        <v>93</v>
      </c>
      <c r="B22" s="23">
        <f>IF(1.1&gt;='Property Overview'!C48+1,0,'Property Overview'!L51)</f>
        <v>-27158.222718677731</v>
      </c>
      <c r="C22" s="23">
        <f>IF(2.1&gt;='Property Overview'!C48+1,0,'Property Overview'!L51)</f>
        <v>-27158.222718677731</v>
      </c>
      <c r="D22" s="23">
        <f>IF(3.1&gt;='Property Overview'!C48+1,0,'Property Overview'!L51)</f>
        <v>-27158.222718677731</v>
      </c>
      <c r="E22" s="23">
        <f>IF(4.1&gt;='Property Overview'!C48+1,0,'Property Overview'!L51)</f>
        <v>-27158.222718677731</v>
      </c>
      <c r="F22" s="23">
        <f>IF(5.1&gt;='Property Overview'!C48+1,0,'Property Overview'!L51)</f>
        <v>-27158.222718677731</v>
      </c>
      <c r="G22" s="23">
        <f>IF(10.1&gt;='Property Overview'!C48+1,0,'Property Overview'!L51)</f>
        <v>-27158.222718677731</v>
      </c>
      <c r="H22" s="23">
        <f>IF(15.1&gt;='Property Overview'!C48+1,0,'Property Overview'!L51)</f>
        <v>-27158.222718677731</v>
      </c>
      <c r="I22" s="23">
        <f>IF(20.1&gt;='Property Overview'!C48+1,0,'Property Overview'!L51)</f>
        <v>-27158.222718677731</v>
      </c>
      <c r="J22" s="23">
        <f>IF(25.1&gt;='Property Overview'!C48+1,0,'Property Overview'!L51)</f>
        <v>-27158.222718677731</v>
      </c>
      <c r="K22" s="23">
        <f>IF(30.1&gt;='Property Overview'!C48+1,0,'Property Overview'!L51)</f>
        <v>-27158.222718677731</v>
      </c>
    </row>
    <row r="23" spans="1:12" s="4" customFormat="1" x14ac:dyDescent="0.2">
      <c r="A23" s="67" t="s">
        <v>126</v>
      </c>
      <c r="B23" s="68">
        <f>B19+B21+B22</f>
        <v>10071.777281322269</v>
      </c>
      <c r="C23" s="68">
        <f t="shared" ref="C23:K23" si="6">C19+C21+C22</f>
        <v>10910.877281322268</v>
      </c>
      <c r="D23" s="68">
        <f t="shared" si="6"/>
        <v>11767.704281322272</v>
      </c>
      <c r="E23" s="68">
        <f t="shared" si="6"/>
        <v>12642.622271322274</v>
      </c>
      <c r="F23" s="68">
        <f t="shared" si="6"/>
        <v>13536.002615622267</v>
      </c>
      <c r="G23" s="68">
        <f t="shared" si="6"/>
        <v>18293.372557744529</v>
      </c>
      <c r="H23" s="68">
        <f t="shared" si="6"/>
        <v>23572.514626001619</v>
      </c>
      <c r="I23" s="68">
        <f t="shared" si="6"/>
        <v>29429.09323322853</v>
      </c>
      <c r="J23" s="68">
        <f t="shared" si="6"/>
        <v>35924.635658199208</v>
      </c>
      <c r="K23" s="68">
        <f t="shared" si="6"/>
        <v>43127.145790844821</v>
      </c>
    </row>
    <row r="24" spans="1:12" s="4" customFormat="1" x14ac:dyDescent="0.2">
      <c r="A24" s="69" t="s">
        <v>131</v>
      </c>
      <c r="B24" s="70">
        <f t="shared" ref="B24:K24" si="7">B23/-B36</f>
        <v>6.8984775899467596E-2</v>
      </c>
      <c r="C24" s="70">
        <f t="shared" si="7"/>
        <v>7.4732036173440194E-2</v>
      </c>
      <c r="D24" s="70">
        <f t="shared" si="7"/>
        <v>8.0600714255632006E-2</v>
      </c>
      <c r="E24" s="70">
        <f t="shared" si="7"/>
        <v>8.6593303228234761E-2</v>
      </c>
      <c r="F24" s="70">
        <f t="shared" si="7"/>
        <v>9.2712346682344293E-2</v>
      </c>
      <c r="G24" s="70">
        <f t="shared" si="7"/>
        <v>0.12529707231331869</v>
      </c>
      <c r="H24" s="70">
        <f t="shared" si="7"/>
        <v>0.16145557963014809</v>
      </c>
      <c r="I24" s="70">
        <f t="shared" si="7"/>
        <v>0.20156913173444199</v>
      </c>
      <c r="J24" s="70">
        <f t="shared" si="7"/>
        <v>0.24605914834383019</v>
      </c>
      <c r="K24" s="70">
        <f t="shared" si="7"/>
        <v>0.29539140952633441</v>
      </c>
    </row>
    <row r="25" spans="1:12" s="49" customFormat="1" ht="9" customHeight="1" x14ac:dyDescent="0.2">
      <c r="B25" s="71"/>
      <c r="C25" s="71"/>
      <c r="D25" s="71"/>
      <c r="E25" s="71"/>
      <c r="F25" s="71"/>
      <c r="G25" s="71"/>
      <c r="H25" s="71"/>
      <c r="I25" s="71"/>
      <c r="J25" s="71"/>
      <c r="K25" s="71"/>
    </row>
    <row r="26" spans="1:12" x14ac:dyDescent="0.2">
      <c r="A26" s="63" t="str">
        <f>IF('Property Overview'!L3=1,"PROPERTY APPRECIATION RESALE ANALYSIS","PROPERTY CAP RATE RESALE ANALYSIS")</f>
        <v>PROPERTY APPRECIATION RESALE ANALYSIS</v>
      </c>
      <c r="B26" s="64" t="s">
        <v>83</v>
      </c>
      <c r="C26" s="64" t="s">
        <v>84</v>
      </c>
      <c r="D26" s="64" t="s">
        <v>85</v>
      </c>
      <c r="E26" s="64" t="s">
        <v>86</v>
      </c>
      <c r="F26" s="64" t="s">
        <v>87</v>
      </c>
      <c r="G26" s="64" t="s">
        <v>88</v>
      </c>
      <c r="H26" s="64" t="s">
        <v>89</v>
      </c>
      <c r="I26" s="64" t="s">
        <v>90</v>
      </c>
      <c r="J26" s="64" t="s">
        <v>91</v>
      </c>
      <c r="K26" s="64" t="s">
        <v>92</v>
      </c>
    </row>
    <row r="27" spans="1:12" x14ac:dyDescent="0.2">
      <c r="A27" s="4" t="s">
        <v>119</v>
      </c>
      <c r="B27" s="60">
        <f>Calculations!K4</f>
        <v>721000</v>
      </c>
      <c r="C27" s="60">
        <f>Calculations!K5</f>
        <v>742630</v>
      </c>
      <c r="D27" s="60">
        <f>Calculations!K6</f>
        <v>764908.9</v>
      </c>
      <c r="E27" s="60">
        <f>Calculations!K7</f>
        <v>787856.16700000002</v>
      </c>
      <c r="F27" s="60">
        <f>Calculations!K8</f>
        <v>811491.85201000003</v>
      </c>
      <c r="G27" s="60">
        <f>Calculations!K13</f>
        <v>940741.46554088558</v>
      </c>
      <c r="H27" s="60">
        <f>Calculations!K18</f>
        <v>1090577.1916205357</v>
      </c>
      <c r="I27" s="60">
        <f>Calculations!K23</f>
        <v>1264277.8642685905</v>
      </c>
      <c r="J27" s="60">
        <f>Calculations!K28</f>
        <v>1465644.5507579516</v>
      </c>
      <c r="K27" s="60">
        <f>Calculations!K33</f>
        <v>1699083.729832764</v>
      </c>
      <c r="L27" s="3"/>
    </row>
    <row r="28" spans="1:12" x14ac:dyDescent="0.2">
      <c r="A28" s="3" t="s">
        <v>149</v>
      </c>
      <c r="B28" s="62">
        <v>0</v>
      </c>
      <c r="C28" s="62">
        <v>0</v>
      </c>
      <c r="D28" s="62">
        <v>0</v>
      </c>
      <c r="E28" s="78">
        <v>0</v>
      </c>
      <c r="F28" s="62"/>
      <c r="G28" s="62">
        <v>0</v>
      </c>
      <c r="H28" s="62">
        <v>0</v>
      </c>
      <c r="I28" s="62">
        <v>0</v>
      </c>
      <c r="J28" s="62">
        <v>0</v>
      </c>
      <c r="K28" s="62">
        <v>0</v>
      </c>
      <c r="L28" s="3"/>
    </row>
    <row r="29" spans="1:12" x14ac:dyDescent="0.2">
      <c r="A29" s="4" t="s">
        <v>166</v>
      </c>
      <c r="B29" s="60">
        <f t="shared" ref="B29:K29" si="8">B27+B28</f>
        <v>721000</v>
      </c>
      <c r="C29" s="60">
        <f t="shared" si="8"/>
        <v>742630</v>
      </c>
      <c r="D29" s="60">
        <f t="shared" si="8"/>
        <v>764908.9</v>
      </c>
      <c r="E29" s="60">
        <f t="shared" si="8"/>
        <v>787856.16700000002</v>
      </c>
      <c r="F29" s="60">
        <f t="shared" si="8"/>
        <v>811491.85201000003</v>
      </c>
      <c r="G29" s="60">
        <f t="shared" si="8"/>
        <v>940741.46554088558</v>
      </c>
      <c r="H29" s="60">
        <f t="shared" si="8"/>
        <v>1090577.1916205357</v>
      </c>
      <c r="I29" s="60">
        <f t="shared" si="8"/>
        <v>1264277.8642685905</v>
      </c>
      <c r="J29" s="60">
        <f t="shared" si="8"/>
        <v>1465644.5507579516</v>
      </c>
      <c r="K29" s="60">
        <f t="shared" si="8"/>
        <v>1699083.729832764</v>
      </c>
      <c r="L29" s="3"/>
    </row>
    <row r="30" spans="1:12" x14ac:dyDescent="0.2">
      <c r="A30" s="72" t="s">
        <v>81</v>
      </c>
      <c r="B30" s="23">
        <f>Calculations!N4</f>
        <v>-494327.59486958635</v>
      </c>
      <c r="C30" s="23">
        <f>Calculations!N5</f>
        <v>-484311.17176102498</v>
      </c>
      <c r="D30" s="23">
        <f>Calculations!N6</f>
        <v>-473938.49500307435</v>
      </c>
      <c r="E30" s="23">
        <f>Calculations!N7</f>
        <v>-463196.89373895002</v>
      </c>
      <c r="F30" s="23">
        <f>Calculations!N8</f>
        <v>-452073.24644810008</v>
      </c>
      <c r="G30" s="23">
        <f>Calculations!N13</f>
        <v>-390231.45166479488</v>
      </c>
      <c r="H30" s="23">
        <f>Calculations!N18</f>
        <v>-316581.40962629078</v>
      </c>
      <c r="I30" s="23">
        <f>Calculations!N23</f>
        <v>-228868.42019446183</v>
      </c>
      <c r="J30" s="23">
        <f>Calculations!N28</f>
        <v>-124407.26440793858</v>
      </c>
      <c r="K30" s="23">
        <f>Calculations!N33</f>
        <v>0</v>
      </c>
    </row>
    <row r="31" spans="1:12" s="4" customFormat="1" x14ac:dyDescent="0.2">
      <c r="A31" s="67" t="s">
        <v>127</v>
      </c>
      <c r="B31" s="68">
        <f t="shared" ref="B31:K31" si="9">B29+B30</f>
        <v>226672.40513041365</v>
      </c>
      <c r="C31" s="68">
        <f t="shared" si="9"/>
        <v>258318.82823897502</v>
      </c>
      <c r="D31" s="68">
        <f t="shared" si="9"/>
        <v>290970.40499692567</v>
      </c>
      <c r="E31" s="68">
        <f t="shared" si="9"/>
        <v>324659.27326105</v>
      </c>
      <c r="F31" s="68">
        <f t="shared" si="9"/>
        <v>359418.60556189995</v>
      </c>
      <c r="G31" s="68">
        <f t="shared" si="9"/>
        <v>550510.01387609076</v>
      </c>
      <c r="H31" s="68">
        <f t="shared" si="9"/>
        <v>773995.7819942449</v>
      </c>
      <c r="I31" s="68">
        <f t="shared" si="9"/>
        <v>1035409.4440741286</v>
      </c>
      <c r="J31" s="68">
        <f t="shared" si="9"/>
        <v>1341237.286350013</v>
      </c>
      <c r="K31" s="68">
        <f t="shared" si="9"/>
        <v>1699083.729832764</v>
      </c>
    </row>
    <row r="32" spans="1:12" s="4" customFormat="1" x14ac:dyDescent="0.2">
      <c r="A32" s="69" t="s">
        <v>82</v>
      </c>
      <c r="B32" s="73">
        <f t="shared" ref="B32:K32" si="10">B31/B29</f>
        <v>0.31438613749017152</v>
      </c>
      <c r="C32" s="73">
        <f t="shared" si="10"/>
        <v>0.34784324392897542</v>
      </c>
      <c r="D32" s="73">
        <f t="shared" si="10"/>
        <v>0.38039877035935349</v>
      </c>
      <c r="E32" s="73">
        <f t="shared" si="10"/>
        <v>0.41207937039737608</v>
      </c>
      <c r="F32" s="73">
        <f t="shared" si="10"/>
        <v>0.44291092346971689</v>
      </c>
      <c r="G32" s="73">
        <f t="shared" si="10"/>
        <v>0.58518735916415821</v>
      </c>
      <c r="H32" s="73">
        <f t="shared" si="10"/>
        <v>0.70971205701095874</v>
      </c>
      <c r="I32" s="73">
        <f t="shared" si="10"/>
        <v>0.81897300691342345</v>
      </c>
      <c r="J32" s="73">
        <f t="shared" si="10"/>
        <v>0.91511771094594396</v>
      </c>
      <c r="K32" s="73">
        <f t="shared" si="10"/>
        <v>1</v>
      </c>
    </row>
    <row r="33" spans="1:30" s="4" customFormat="1" x14ac:dyDescent="0.2">
      <c r="A33" s="69" t="s">
        <v>185</v>
      </c>
      <c r="B33" s="70">
        <f>Calculations!P4</f>
        <v>0.27906974254613642</v>
      </c>
      <c r="C33" s="70">
        <f>Calculations!P5</f>
        <v>0.29148835883481944</v>
      </c>
      <c r="D33" s="70">
        <f>Calculations!P6</f>
        <v>0.30424165095392408</v>
      </c>
      <c r="E33" s="70">
        <f>Calculations!P7</f>
        <v>0.31733897627018209</v>
      </c>
      <c r="F33" s="70">
        <f>Calculations!P8</f>
        <v>0.33078996518131665</v>
      </c>
      <c r="G33" s="70">
        <f>Calculations!P13</f>
        <v>0.40370710543226723</v>
      </c>
      <c r="H33" s="70">
        <f>Calculations!P18</f>
        <v>0.48708264649233779</v>
      </c>
      <c r="I33" s="70">
        <f>Calculations!P23</f>
        <v>0.58248236228564521</v>
      </c>
      <c r="J33" s="70">
        <f>Calculations!P28</f>
        <v>0.69171764235937794</v>
      </c>
      <c r="K33" s="70">
        <f>Calculations!P33</f>
        <v>0.81688562720519087</v>
      </c>
    </row>
    <row r="34" spans="1:30" x14ac:dyDescent="0.2">
      <c r="A34" s="3" t="s">
        <v>120</v>
      </c>
      <c r="B34" s="23">
        <f>-B29*'Property Overview'!H49</f>
        <v>-43260</v>
      </c>
      <c r="C34" s="23">
        <f>-C29*'Property Overview'!H49</f>
        <v>-44557.799999999996</v>
      </c>
      <c r="D34" s="23">
        <f>-D29*'Property Overview'!H49</f>
        <v>-45894.534</v>
      </c>
      <c r="E34" s="23">
        <f>-E29*'Property Overview'!H49</f>
        <v>-47271.370020000002</v>
      </c>
      <c r="F34" s="23">
        <f>-F29*'Property Overview'!H49</f>
        <v>-48689.5111206</v>
      </c>
      <c r="G34" s="23">
        <f>-G29*'Property Overview'!H49</f>
        <v>-56444.487932453136</v>
      </c>
      <c r="H34" s="23">
        <f>-H29*'Property Overview'!H49</f>
        <v>-65434.631497232142</v>
      </c>
      <c r="I34" s="23">
        <f>-I29*'Property Overview'!H49</f>
        <v>-75856.671856115427</v>
      </c>
      <c r="J34" s="23">
        <f>-J29*'Property Overview'!H49</f>
        <v>-87938.673045477088</v>
      </c>
      <c r="K34" s="23">
        <f>-K29*'Property Overview'!H49</f>
        <v>-101945.02378996584</v>
      </c>
    </row>
    <row r="35" spans="1:30" x14ac:dyDescent="0.2">
      <c r="A35" s="67" t="s">
        <v>125</v>
      </c>
      <c r="B35" s="68">
        <f>B31+B34</f>
        <v>183412.40513041365</v>
      </c>
      <c r="C35" s="68">
        <f t="shared" ref="C35:J35" si="11">C31+C34</f>
        <v>213761.02823897504</v>
      </c>
      <c r="D35" s="68">
        <f t="shared" si="11"/>
        <v>245075.87099692569</v>
      </c>
      <c r="E35" s="68">
        <f t="shared" si="11"/>
        <v>277387.90324104996</v>
      </c>
      <c r="F35" s="68">
        <f t="shared" si="11"/>
        <v>310729.09444129997</v>
      </c>
      <c r="G35" s="68">
        <f t="shared" si="11"/>
        <v>494065.52594363759</v>
      </c>
      <c r="H35" s="68">
        <f t="shared" si="11"/>
        <v>708561.15049701277</v>
      </c>
      <c r="I35" s="68">
        <f t="shared" si="11"/>
        <v>959552.77221801318</v>
      </c>
      <c r="J35" s="68">
        <f t="shared" si="11"/>
        <v>1253298.6133045359</v>
      </c>
      <c r="K35" s="68">
        <f>K31+K34</f>
        <v>1597138.7060427982</v>
      </c>
    </row>
    <row r="36" spans="1:30" x14ac:dyDescent="0.2">
      <c r="A36" s="3" t="s">
        <v>41</v>
      </c>
      <c r="B36" s="23">
        <f>-'Property Overview'!C55</f>
        <v>-146000</v>
      </c>
      <c r="C36" s="23">
        <f>-'Property Overview'!C55</f>
        <v>-146000</v>
      </c>
      <c r="D36" s="23">
        <f>-'Property Overview'!C55</f>
        <v>-146000</v>
      </c>
      <c r="E36" s="23">
        <f>-'Property Overview'!C55</f>
        <v>-146000</v>
      </c>
      <c r="F36" s="23">
        <f>-'Property Overview'!C55</f>
        <v>-146000</v>
      </c>
      <c r="G36" s="23">
        <f>-'Property Overview'!C55</f>
        <v>-146000</v>
      </c>
      <c r="H36" s="23">
        <f>-'Property Overview'!C55</f>
        <v>-146000</v>
      </c>
      <c r="I36" s="23">
        <f>-'Property Overview'!C55</f>
        <v>-146000</v>
      </c>
      <c r="J36" s="23">
        <f>-'Property Overview'!C55</f>
        <v>-146000</v>
      </c>
      <c r="K36" s="23">
        <f>-'Property Overview'!C55</f>
        <v>-146000</v>
      </c>
    </row>
    <row r="37" spans="1:30" x14ac:dyDescent="0.2">
      <c r="A37" s="3" t="s">
        <v>122</v>
      </c>
      <c r="B37" s="23">
        <f t="shared" ref="B37:K37" si="12">B23</f>
        <v>10071.777281322269</v>
      </c>
      <c r="C37" s="23">
        <f t="shared" si="12"/>
        <v>10910.877281322268</v>
      </c>
      <c r="D37" s="23">
        <f t="shared" si="12"/>
        <v>11767.704281322272</v>
      </c>
      <c r="E37" s="23">
        <f t="shared" si="12"/>
        <v>12642.622271322274</v>
      </c>
      <c r="F37" s="23">
        <f t="shared" si="12"/>
        <v>13536.002615622267</v>
      </c>
      <c r="G37" s="23">
        <f t="shared" si="12"/>
        <v>18293.372557744529</v>
      </c>
      <c r="H37" s="23">
        <f t="shared" si="12"/>
        <v>23572.514626001619</v>
      </c>
      <c r="I37" s="23">
        <f t="shared" si="12"/>
        <v>29429.09323322853</v>
      </c>
      <c r="J37" s="23">
        <f t="shared" si="12"/>
        <v>35924.635658199208</v>
      </c>
      <c r="K37" s="23">
        <f t="shared" si="12"/>
        <v>43127.145790844821</v>
      </c>
    </row>
    <row r="38" spans="1:30" s="37" customFormat="1" x14ac:dyDescent="0.2">
      <c r="A38" s="74" t="s">
        <v>188</v>
      </c>
      <c r="B38" s="75">
        <v>0</v>
      </c>
      <c r="C38" s="75">
        <f>B37+B38</f>
        <v>10071.777281322269</v>
      </c>
      <c r="D38" s="75">
        <f>C37+C38</f>
        <v>20982.654562644537</v>
      </c>
      <c r="E38" s="75">
        <f>D37+D38</f>
        <v>32750.358843966809</v>
      </c>
      <c r="F38" s="75">
        <f>E37+E38</f>
        <v>45392.981115289083</v>
      </c>
      <c r="G38" s="75">
        <f>Calculations!C13</f>
        <v>122389.46800965304</v>
      </c>
      <c r="H38" s="75">
        <f>Calculations!C18</f>
        <v>224195.18341770224</v>
      </c>
      <c r="I38" s="75">
        <f>Calculations!C23</f>
        <v>353528.08685586718</v>
      </c>
      <c r="J38" s="75">
        <f>Calculations!C28</f>
        <v>513395.9521642513</v>
      </c>
      <c r="K38" s="75">
        <f>Calculations!C33</f>
        <v>707126.88495645486</v>
      </c>
    </row>
    <row r="39" spans="1:30" x14ac:dyDescent="0.2">
      <c r="A39" s="67" t="s">
        <v>174</v>
      </c>
      <c r="B39" s="68">
        <f t="shared" ref="B39:K39" si="13">B35+B36+B37+B38</f>
        <v>47484.182411735921</v>
      </c>
      <c r="C39" s="68">
        <f t="shared" si="13"/>
        <v>88743.682801619565</v>
      </c>
      <c r="D39" s="68">
        <f t="shared" si="13"/>
        <v>131826.22984089251</v>
      </c>
      <c r="E39" s="68">
        <f t="shared" si="13"/>
        <v>176780.88435633905</v>
      </c>
      <c r="F39" s="68">
        <f t="shared" si="13"/>
        <v>223658.07817221133</v>
      </c>
      <c r="G39" s="68">
        <f t="shared" si="13"/>
        <v>488748.36651103513</v>
      </c>
      <c r="H39" s="68">
        <f t="shared" si="13"/>
        <v>810328.84854071657</v>
      </c>
      <c r="I39" s="68">
        <f t="shared" si="13"/>
        <v>1196509.9523071088</v>
      </c>
      <c r="J39" s="68">
        <f t="shared" si="13"/>
        <v>1656619.2011269864</v>
      </c>
      <c r="K39" s="68">
        <f t="shared" si="13"/>
        <v>2201392.7367900982</v>
      </c>
    </row>
    <row r="40" spans="1:30" s="38" customFormat="1" ht="9" customHeight="1" x14ac:dyDescent="0.2">
      <c r="A40" s="76"/>
      <c r="B40" s="77"/>
      <c r="C40" s="77"/>
      <c r="D40" s="77"/>
      <c r="E40" s="77"/>
      <c r="F40" s="77"/>
      <c r="G40" s="77"/>
      <c r="H40" s="77"/>
      <c r="I40" s="77"/>
      <c r="J40" s="77"/>
      <c r="K40" s="77"/>
      <c r="L40" s="19"/>
      <c r="M40" s="39"/>
      <c r="N40" s="39"/>
      <c r="O40" s="39"/>
      <c r="P40" s="39"/>
      <c r="Q40" s="39"/>
      <c r="R40" s="39"/>
      <c r="S40" s="39"/>
      <c r="T40" s="39"/>
      <c r="U40" s="39"/>
      <c r="V40" s="39"/>
      <c r="W40" s="39"/>
      <c r="X40" s="39"/>
      <c r="Y40" s="39"/>
      <c r="Z40" s="39"/>
      <c r="AA40" s="39"/>
      <c r="AB40" s="39"/>
      <c r="AC40" s="39"/>
      <c r="AD40" s="39"/>
    </row>
    <row r="41" spans="1:30" x14ac:dyDescent="0.2">
      <c r="A41" s="63" t="s">
        <v>163</v>
      </c>
      <c r="B41" s="64" t="s">
        <v>83</v>
      </c>
      <c r="C41" s="64" t="s">
        <v>84</v>
      </c>
      <c r="D41" s="64" t="s">
        <v>85</v>
      </c>
      <c r="E41" s="64" t="s">
        <v>86</v>
      </c>
      <c r="F41" s="64" t="s">
        <v>87</v>
      </c>
      <c r="G41" s="64" t="s">
        <v>88</v>
      </c>
      <c r="H41" s="64" t="s">
        <v>89</v>
      </c>
      <c r="I41" s="64" t="s">
        <v>90</v>
      </c>
      <c r="J41" s="64" t="s">
        <v>91</v>
      </c>
      <c r="K41" s="64" t="s">
        <v>92</v>
      </c>
      <c r="L41" s="39"/>
      <c r="M41" s="39"/>
      <c r="N41" s="39"/>
      <c r="O41" s="39"/>
      <c r="P41" s="39"/>
      <c r="Q41" s="39"/>
      <c r="R41" s="39"/>
      <c r="S41" s="39"/>
      <c r="T41" s="39"/>
      <c r="U41" s="39"/>
      <c r="V41" s="39"/>
      <c r="W41" s="39"/>
      <c r="X41" s="39"/>
      <c r="Y41" s="39"/>
      <c r="Z41" s="39"/>
      <c r="AA41" s="39"/>
      <c r="AB41" s="39"/>
      <c r="AC41" s="39"/>
      <c r="AD41" s="39"/>
    </row>
    <row r="42" spans="1:30" x14ac:dyDescent="0.2">
      <c r="A42" s="69" t="s">
        <v>116</v>
      </c>
      <c r="B42" s="70">
        <f>Calculations!AA34</f>
        <v>0.32523412610778069</v>
      </c>
      <c r="C42" s="70">
        <f>Calculations!AB34</f>
        <v>0.27547522134176217</v>
      </c>
      <c r="D42" s="70">
        <f>Calculations!AC34</f>
        <v>0.25163760155405823</v>
      </c>
      <c r="E42" s="70">
        <f>Calculations!AD34</f>
        <v>0.23552706947691338</v>
      </c>
      <c r="F42" s="70">
        <f>Calculations!AE34</f>
        <v>0.22323751600655006</v>
      </c>
      <c r="G42" s="70">
        <f>Calculations!AJ34</f>
        <v>0.18627004306244288</v>
      </c>
      <c r="H42" s="70">
        <f>Calculations!AO34</f>
        <v>0.16653628366441864</v>
      </c>
      <c r="I42" s="70">
        <f>Calculations!AT34</f>
        <v>0.15411968574987256</v>
      </c>
      <c r="J42" s="70">
        <f>Calculations!AY34</f>
        <v>0.14570352296011757</v>
      </c>
      <c r="K42" s="70">
        <f>Calculations!BD34</f>
        <v>0.13976534749101122</v>
      </c>
    </row>
    <row r="43" spans="1:30" x14ac:dyDescent="0.2">
      <c r="A43" s="69" t="s">
        <v>115</v>
      </c>
      <c r="B43" s="70">
        <f>Calculations!W4</f>
        <v>0.32523412610778046</v>
      </c>
      <c r="C43" s="70">
        <f>Calculations!W5</f>
        <v>0.26800372390884908</v>
      </c>
      <c r="D43" s="70">
        <f>Calculations!W6</f>
        <v>0.23919636240259257</v>
      </c>
      <c r="E43" s="70">
        <f>Calculations!W7</f>
        <v>0.21937907428196013</v>
      </c>
      <c r="F43" s="70">
        <f>Calculations!W8</f>
        <v>0.20417461895515054</v>
      </c>
      <c r="G43" s="70">
        <f>Calculations!W13</f>
        <v>0.15831018102391869</v>
      </c>
      <c r="H43" s="70">
        <f>Calculations!W18</f>
        <v>0.13348808709410243</v>
      </c>
      <c r="I43" s="70">
        <f>Calculations!W23</f>
        <v>0.11732169853916141</v>
      </c>
      <c r="J43" s="70">
        <f>Calculations!W28</f>
        <v>0.10576297857823458</v>
      </c>
      <c r="K43" s="70">
        <f>Calculations!W33</f>
        <v>9.7002868915053497E-2</v>
      </c>
    </row>
    <row r="44" spans="1:30" x14ac:dyDescent="0.2">
      <c r="A44" s="90"/>
      <c r="B44" s="35"/>
      <c r="C44" s="35"/>
      <c r="D44" s="35"/>
      <c r="E44" s="35"/>
      <c r="F44" s="35"/>
      <c r="G44" s="35"/>
      <c r="H44" s="35"/>
      <c r="I44" s="35"/>
      <c r="J44" s="35"/>
      <c r="K44" s="35"/>
    </row>
    <row r="45" spans="1:30" x14ac:dyDescent="0.2">
      <c r="B45" s="88"/>
      <c r="C45" s="89"/>
    </row>
  </sheetData>
  <sheetProtection password="EACF" sheet="1" selectLockedCells="1"/>
  <mergeCells count="2">
    <mergeCell ref="A1:K1"/>
    <mergeCell ref="A2:K2"/>
  </mergeCells>
  <pageMargins left="0" right="0" top="0.25" bottom="0.25" header="0.3" footer="0.3"/>
  <pageSetup paperSize="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S63"/>
  <sheetViews>
    <sheetView showGridLines="0" topLeftCell="A25" zoomScaleNormal="100" workbookViewId="0">
      <selection activeCell="S9" sqref="S9"/>
    </sheetView>
  </sheetViews>
  <sheetFormatPr defaultRowHeight="12.75" x14ac:dyDescent="0.2"/>
  <cols>
    <col min="10" max="10" width="7.5703125" customWidth="1"/>
    <col min="12" max="12" width="7.5703125" customWidth="1"/>
    <col min="13" max="13" width="14.5703125" customWidth="1"/>
    <col min="14" max="14" width="11.7109375" customWidth="1"/>
  </cols>
  <sheetData>
    <row r="1" spans="1:19" ht="20.100000000000001" customHeight="1" x14ac:dyDescent="0.25">
      <c r="A1" s="184" t="s">
        <v>132</v>
      </c>
      <c r="B1" s="184"/>
      <c r="C1" s="184"/>
      <c r="D1" s="184"/>
      <c r="E1" s="184"/>
      <c r="F1" s="184"/>
      <c r="G1" s="184"/>
      <c r="H1" s="184"/>
      <c r="I1" s="184"/>
      <c r="J1" s="184"/>
      <c r="K1" s="184"/>
      <c r="L1" s="184"/>
      <c r="M1" s="51"/>
      <c r="N1" s="16"/>
      <c r="O1" s="17"/>
    </row>
    <row r="2" spans="1:19" ht="9.9499999999999993" customHeight="1" x14ac:dyDescent="0.25">
      <c r="A2" s="32"/>
      <c r="B2" s="32"/>
      <c r="C2" s="32"/>
      <c r="D2" s="32"/>
      <c r="E2" s="32"/>
      <c r="F2" s="32"/>
      <c r="G2" s="32"/>
      <c r="H2" s="32"/>
      <c r="I2" s="32"/>
      <c r="J2" s="32"/>
      <c r="K2" s="32"/>
      <c r="L2" s="32"/>
      <c r="M2" s="32"/>
    </row>
    <row r="3" spans="1:19" ht="15" customHeight="1" x14ac:dyDescent="0.25">
      <c r="A3" s="183" t="s">
        <v>64</v>
      </c>
      <c r="B3" s="183"/>
      <c r="C3" s="183"/>
      <c r="D3" s="183"/>
      <c r="E3" s="183"/>
      <c r="F3" s="183"/>
      <c r="G3" s="183"/>
      <c r="H3" s="183"/>
      <c r="I3" s="183"/>
      <c r="J3" s="183"/>
      <c r="K3" s="183"/>
      <c r="L3" s="183"/>
      <c r="M3" s="29"/>
    </row>
    <row r="4" spans="1:19" ht="9.9499999999999993" customHeight="1" x14ac:dyDescent="0.2">
      <c r="A4" s="30"/>
      <c r="B4" s="30"/>
      <c r="C4" s="30"/>
      <c r="D4" s="30"/>
      <c r="E4" s="30"/>
      <c r="F4" s="30"/>
      <c r="G4" s="30"/>
      <c r="H4" s="30"/>
      <c r="I4" s="30"/>
      <c r="J4" s="30"/>
      <c r="K4" s="30"/>
      <c r="L4" s="30"/>
      <c r="M4" s="30"/>
    </row>
    <row r="5" spans="1:19" ht="15" customHeight="1" x14ac:dyDescent="0.2">
      <c r="A5" s="185" t="s">
        <v>133</v>
      </c>
      <c r="B5" s="185"/>
      <c r="C5" s="185"/>
      <c r="D5" s="185"/>
      <c r="E5" s="185"/>
      <c r="F5" s="185"/>
      <c r="G5" s="185"/>
      <c r="H5" s="185"/>
      <c r="I5" s="185"/>
      <c r="J5" s="185"/>
      <c r="K5" s="185"/>
      <c r="L5" s="185"/>
    </row>
    <row r="6" spans="1:19" ht="15" customHeight="1" x14ac:dyDescent="0.2">
      <c r="A6" s="185"/>
      <c r="B6" s="185"/>
      <c r="C6" s="185"/>
      <c r="D6" s="185"/>
      <c r="E6" s="185"/>
      <c r="F6" s="185"/>
      <c r="G6" s="185"/>
      <c r="H6" s="185"/>
      <c r="I6" s="185"/>
      <c r="J6" s="185"/>
      <c r="K6" s="185"/>
      <c r="L6" s="185"/>
    </row>
    <row r="7" spans="1:19" ht="9.9499999999999993" customHeight="1" x14ac:dyDescent="0.2"/>
    <row r="8" spans="1:19" ht="15" customHeight="1" x14ac:dyDescent="0.2">
      <c r="A8" s="182" t="s">
        <v>135</v>
      </c>
      <c r="B8" s="182"/>
      <c r="C8" s="182"/>
      <c r="D8" s="182"/>
      <c r="E8" s="182"/>
      <c r="F8" s="182"/>
      <c r="G8" s="182"/>
      <c r="H8" s="182"/>
      <c r="I8" s="182"/>
      <c r="J8" s="182"/>
      <c r="K8" s="182"/>
      <c r="L8" s="182"/>
      <c r="M8" s="31"/>
    </row>
    <row r="9" spans="1:19" ht="15" customHeight="1" x14ac:dyDescent="0.2">
      <c r="A9" s="182"/>
      <c r="B9" s="182"/>
      <c r="C9" s="182"/>
      <c r="D9" s="182"/>
      <c r="E9" s="182"/>
      <c r="F9" s="182"/>
      <c r="G9" s="182"/>
      <c r="H9" s="182"/>
      <c r="I9" s="182"/>
      <c r="J9" s="182"/>
      <c r="K9" s="182"/>
      <c r="L9" s="182"/>
      <c r="M9" s="31"/>
      <c r="S9" s="34"/>
    </row>
    <row r="10" spans="1:19" ht="15" customHeight="1" x14ac:dyDescent="0.2">
      <c r="A10" s="182"/>
      <c r="B10" s="182"/>
      <c r="C10" s="182"/>
      <c r="D10" s="182"/>
      <c r="E10" s="182"/>
      <c r="F10" s="182"/>
      <c r="G10" s="182"/>
      <c r="H10" s="182"/>
      <c r="I10" s="182"/>
      <c r="J10" s="182"/>
      <c r="K10" s="182"/>
      <c r="L10" s="182"/>
      <c r="M10" s="31"/>
    </row>
    <row r="11" spans="1:19" ht="9.9499999999999993" customHeight="1" x14ac:dyDescent="0.2">
      <c r="A11" s="28"/>
      <c r="B11" s="28"/>
      <c r="C11" s="28"/>
      <c r="D11" s="28"/>
      <c r="E11" s="28"/>
      <c r="F11" s="28"/>
      <c r="G11" s="28"/>
      <c r="H11" s="28"/>
      <c r="I11" s="28"/>
      <c r="J11" s="28"/>
      <c r="K11" s="28"/>
      <c r="L11" s="28"/>
      <c r="M11" s="28"/>
    </row>
    <row r="12" spans="1:19" ht="15" customHeight="1" x14ac:dyDescent="0.2">
      <c r="A12" s="182" t="s">
        <v>62</v>
      </c>
      <c r="B12" s="182"/>
      <c r="C12" s="182"/>
      <c r="D12" s="182"/>
      <c r="E12" s="182"/>
      <c r="F12" s="182"/>
      <c r="G12" s="182"/>
      <c r="H12" s="182"/>
      <c r="I12" s="182"/>
      <c r="J12" s="182"/>
      <c r="K12" s="182"/>
      <c r="L12" s="182"/>
      <c r="M12" s="31"/>
    </row>
    <row r="13" spans="1:19" ht="9.9499999999999993" customHeight="1" x14ac:dyDescent="0.2">
      <c r="A13" s="31"/>
      <c r="B13" s="31"/>
      <c r="C13" s="31"/>
      <c r="D13" s="31"/>
      <c r="E13" s="31"/>
      <c r="F13" s="31"/>
      <c r="G13" s="31"/>
      <c r="H13" s="31"/>
      <c r="I13" s="31"/>
      <c r="J13" s="31"/>
      <c r="K13" s="31"/>
      <c r="L13" s="31"/>
      <c r="M13" s="31"/>
    </row>
    <row r="14" spans="1:19" ht="15" customHeight="1" x14ac:dyDescent="0.2">
      <c r="A14" s="182" t="s">
        <v>59</v>
      </c>
      <c r="B14" s="182"/>
      <c r="C14" s="182"/>
      <c r="D14" s="182"/>
      <c r="E14" s="182"/>
      <c r="F14" s="182"/>
      <c r="G14" s="182"/>
      <c r="H14" s="182"/>
      <c r="I14" s="182"/>
      <c r="J14" s="182"/>
      <c r="K14" s="182"/>
      <c r="L14" s="182"/>
      <c r="M14" s="31"/>
      <c r="N14" s="31"/>
    </row>
    <row r="15" spans="1:19" ht="15" customHeight="1" x14ac:dyDescent="0.2">
      <c r="A15" s="182"/>
      <c r="B15" s="182"/>
      <c r="C15" s="182"/>
      <c r="D15" s="182"/>
      <c r="E15" s="182"/>
      <c r="F15" s="182"/>
      <c r="G15" s="182"/>
      <c r="H15" s="182"/>
      <c r="I15" s="182"/>
      <c r="J15" s="182"/>
      <c r="K15" s="182"/>
      <c r="L15" s="182"/>
      <c r="M15" s="31"/>
      <c r="N15" s="31"/>
    </row>
    <row r="16" spans="1:19" ht="9.9499999999999993" customHeight="1" x14ac:dyDescent="0.2">
      <c r="A16" s="29"/>
      <c r="B16" s="29"/>
      <c r="C16" s="29"/>
      <c r="D16" s="29"/>
      <c r="E16" s="29"/>
      <c r="F16" s="29"/>
      <c r="G16" s="29"/>
      <c r="H16" s="29"/>
      <c r="I16" s="29"/>
      <c r="J16" s="29"/>
      <c r="K16" s="29"/>
      <c r="L16" s="29"/>
      <c r="M16" s="29"/>
      <c r="O16" s="26"/>
    </row>
    <row r="17" spans="1:13" ht="15" customHeight="1" x14ac:dyDescent="0.25">
      <c r="A17" s="183" t="s">
        <v>162</v>
      </c>
      <c r="B17" s="183"/>
      <c r="C17" s="183"/>
      <c r="D17" s="183"/>
      <c r="E17" s="183"/>
      <c r="F17" s="183"/>
      <c r="G17" s="183"/>
      <c r="H17" s="183"/>
      <c r="I17" s="183"/>
      <c r="J17" s="183"/>
      <c r="K17" s="183"/>
      <c r="L17" s="183"/>
      <c r="M17" s="29"/>
    </row>
    <row r="18" spans="1:13" ht="9.9499999999999993" customHeight="1" x14ac:dyDescent="0.2">
      <c r="A18" s="30"/>
      <c r="B18" s="30"/>
      <c r="C18" s="30"/>
      <c r="D18" s="30"/>
      <c r="E18" s="30"/>
      <c r="F18" s="30"/>
      <c r="G18" s="30"/>
      <c r="H18" s="30"/>
      <c r="I18" s="30"/>
      <c r="J18" s="30"/>
      <c r="K18" s="30"/>
      <c r="L18" s="30"/>
      <c r="M18" s="30"/>
    </row>
    <row r="19" spans="1:13" ht="15" customHeight="1" x14ac:dyDescent="0.2">
      <c r="A19" s="182" t="s">
        <v>63</v>
      </c>
      <c r="B19" s="182"/>
      <c r="C19" s="182"/>
      <c r="D19" s="182"/>
      <c r="E19" s="182"/>
      <c r="F19" s="182"/>
      <c r="G19" s="182"/>
      <c r="H19" s="182"/>
      <c r="I19" s="182"/>
      <c r="J19" s="182"/>
      <c r="K19" s="182"/>
      <c r="L19" s="182"/>
      <c r="M19" s="31"/>
    </row>
    <row r="20" spans="1:13" ht="15" customHeight="1" x14ac:dyDescent="0.2">
      <c r="A20" s="182"/>
      <c r="B20" s="182"/>
      <c r="C20" s="182"/>
      <c r="D20" s="182"/>
      <c r="E20" s="182"/>
      <c r="F20" s="182"/>
      <c r="G20" s="182"/>
      <c r="H20" s="182"/>
      <c r="I20" s="182"/>
      <c r="J20" s="182"/>
      <c r="K20" s="182"/>
      <c r="L20" s="182"/>
      <c r="M20" s="31"/>
    </row>
    <row r="21" spans="1:13" ht="9.9499999999999993" customHeight="1" x14ac:dyDescent="0.2">
      <c r="A21" s="28"/>
      <c r="B21" s="28"/>
      <c r="C21" s="28"/>
      <c r="D21" s="28"/>
      <c r="E21" s="28"/>
      <c r="F21" s="28"/>
      <c r="G21" s="28"/>
      <c r="H21" s="28"/>
      <c r="I21" s="28"/>
      <c r="J21" s="28"/>
      <c r="K21" s="28"/>
      <c r="L21" s="28"/>
      <c r="M21" s="28"/>
    </row>
    <row r="22" spans="1:13" ht="15" customHeight="1" x14ac:dyDescent="0.2">
      <c r="A22" s="182" t="s">
        <v>134</v>
      </c>
      <c r="B22" s="182"/>
      <c r="C22" s="182"/>
      <c r="D22" s="182"/>
      <c r="E22" s="182"/>
      <c r="F22" s="182"/>
      <c r="G22" s="182"/>
      <c r="H22" s="182"/>
      <c r="I22" s="182"/>
      <c r="J22" s="182"/>
      <c r="K22" s="182"/>
      <c r="L22" s="182"/>
      <c r="M22" s="31"/>
    </row>
    <row r="23" spans="1:13" ht="9.9499999999999993" customHeight="1" x14ac:dyDescent="0.2">
      <c r="A23" s="29"/>
      <c r="B23" s="29"/>
      <c r="C23" s="29"/>
      <c r="D23" s="29"/>
      <c r="E23" s="29"/>
      <c r="F23" s="29"/>
      <c r="G23" s="29"/>
      <c r="H23" s="29"/>
      <c r="I23" s="29"/>
      <c r="J23" s="29"/>
      <c r="K23" s="29"/>
      <c r="L23" s="29"/>
      <c r="M23" s="29"/>
    </row>
    <row r="24" spans="1:13" ht="15" customHeight="1" x14ac:dyDescent="0.2">
      <c r="A24" s="182" t="s">
        <v>68</v>
      </c>
      <c r="B24" s="182"/>
      <c r="C24" s="182"/>
      <c r="D24" s="182"/>
      <c r="E24" s="182"/>
      <c r="F24" s="182"/>
      <c r="G24" s="182"/>
      <c r="H24" s="182"/>
      <c r="I24" s="182"/>
      <c r="J24" s="182"/>
      <c r="K24" s="182"/>
      <c r="L24" s="182"/>
      <c r="M24" s="31"/>
    </row>
    <row r="25" spans="1:13" ht="15" customHeight="1" x14ac:dyDescent="0.2">
      <c r="A25" s="182"/>
      <c r="B25" s="182"/>
      <c r="C25" s="182"/>
      <c r="D25" s="182"/>
      <c r="E25" s="182"/>
      <c r="F25" s="182"/>
      <c r="G25" s="182"/>
      <c r="H25" s="182"/>
      <c r="I25" s="182"/>
      <c r="J25" s="182"/>
      <c r="K25" s="182"/>
      <c r="L25" s="182"/>
      <c r="M25" s="31"/>
    </row>
    <row r="26" spans="1:13" ht="9.9499999999999993" customHeight="1" x14ac:dyDescent="0.2">
      <c r="A26" s="28"/>
      <c r="B26" s="28"/>
      <c r="C26" s="28"/>
      <c r="D26" s="28"/>
      <c r="E26" s="28"/>
      <c r="F26" s="28"/>
      <c r="G26" s="28"/>
      <c r="H26" s="28"/>
      <c r="I26" s="28"/>
      <c r="J26" s="28"/>
      <c r="K26" s="28"/>
      <c r="L26" s="28"/>
      <c r="M26" s="31"/>
    </row>
    <row r="27" spans="1:13" ht="15" customHeight="1" x14ac:dyDescent="0.2">
      <c r="A27" s="182" t="s">
        <v>161</v>
      </c>
      <c r="B27" s="182"/>
      <c r="C27" s="182"/>
      <c r="D27" s="182"/>
      <c r="E27" s="182"/>
      <c r="F27" s="182"/>
      <c r="G27" s="182"/>
      <c r="H27" s="182"/>
      <c r="I27" s="182"/>
      <c r="J27" s="182"/>
      <c r="K27" s="182"/>
      <c r="L27" s="182"/>
      <c r="M27" s="31"/>
    </row>
    <row r="28" spans="1:13" ht="15" customHeight="1" x14ac:dyDescent="0.2">
      <c r="A28" s="182"/>
      <c r="B28" s="182"/>
      <c r="C28" s="182"/>
      <c r="D28" s="182"/>
      <c r="E28" s="182"/>
      <c r="F28" s="182"/>
      <c r="G28" s="182"/>
      <c r="H28" s="182"/>
      <c r="I28" s="182"/>
      <c r="J28" s="182"/>
      <c r="K28" s="182"/>
      <c r="L28" s="182"/>
      <c r="M28" s="31"/>
    </row>
    <row r="29" spans="1:13" ht="15" customHeight="1" x14ac:dyDescent="0.2">
      <c r="A29" s="182"/>
      <c r="B29" s="182"/>
      <c r="C29" s="182"/>
      <c r="D29" s="182"/>
      <c r="E29" s="182"/>
      <c r="F29" s="182"/>
      <c r="G29" s="182"/>
      <c r="H29" s="182"/>
      <c r="I29" s="182"/>
      <c r="J29" s="182"/>
      <c r="K29" s="182"/>
      <c r="L29" s="182"/>
      <c r="M29" s="81"/>
    </row>
    <row r="30" spans="1:13" ht="9.9499999999999993" customHeight="1" x14ac:dyDescent="0.2">
      <c r="A30" s="29"/>
      <c r="B30" s="29"/>
      <c r="C30" s="29"/>
      <c r="D30" s="29"/>
      <c r="E30" s="29"/>
      <c r="F30" s="29"/>
      <c r="G30" s="29"/>
      <c r="H30" s="29"/>
      <c r="I30" s="29"/>
      <c r="J30" s="29"/>
      <c r="K30" s="29"/>
      <c r="L30" s="29"/>
      <c r="M30" s="29"/>
    </row>
    <row r="31" spans="1:13" ht="15" customHeight="1" x14ac:dyDescent="0.25">
      <c r="A31" s="182" t="s">
        <v>182</v>
      </c>
      <c r="B31" s="182"/>
      <c r="C31" s="182"/>
      <c r="D31" s="182"/>
      <c r="E31" s="182"/>
      <c r="F31" s="182"/>
      <c r="G31" s="182"/>
      <c r="H31" s="182"/>
      <c r="I31" s="182"/>
      <c r="J31" s="182"/>
      <c r="K31" s="182"/>
      <c r="L31" s="182"/>
      <c r="M31" s="80"/>
    </row>
    <row r="32" spans="1:13" ht="15" customHeight="1" x14ac:dyDescent="0.2">
      <c r="A32" s="182"/>
      <c r="B32" s="182"/>
      <c r="C32" s="182"/>
      <c r="D32" s="182"/>
      <c r="E32" s="182"/>
      <c r="F32" s="182"/>
      <c r="G32" s="182"/>
      <c r="H32" s="182"/>
      <c r="I32" s="182"/>
      <c r="J32" s="182"/>
      <c r="K32" s="182"/>
      <c r="L32" s="182"/>
      <c r="M32" s="31"/>
    </row>
    <row r="33" spans="1:18" ht="15" customHeight="1" x14ac:dyDescent="0.2">
      <c r="A33" s="182"/>
      <c r="B33" s="182"/>
      <c r="C33" s="182"/>
      <c r="D33" s="182"/>
      <c r="E33" s="182"/>
      <c r="F33" s="182"/>
      <c r="G33" s="182"/>
      <c r="H33" s="182"/>
      <c r="I33" s="182"/>
      <c r="J33" s="182"/>
      <c r="K33" s="182"/>
      <c r="L33" s="182"/>
      <c r="M33" s="31"/>
    </row>
    <row r="34" spans="1:18" ht="15" customHeight="1" x14ac:dyDescent="0.2">
      <c r="A34" s="182"/>
      <c r="B34" s="182"/>
      <c r="C34" s="182"/>
      <c r="D34" s="182"/>
      <c r="E34" s="182"/>
      <c r="F34" s="182"/>
      <c r="G34" s="182"/>
      <c r="H34" s="182"/>
      <c r="I34" s="182"/>
      <c r="J34" s="182"/>
      <c r="K34" s="182"/>
      <c r="L34" s="182"/>
      <c r="M34" s="31"/>
    </row>
    <row r="35" spans="1:18" ht="9.9499999999999993" customHeight="1" x14ac:dyDescent="0.2">
      <c r="A35" s="29"/>
      <c r="B35" s="29"/>
      <c r="C35" s="29"/>
      <c r="D35" s="29"/>
      <c r="E35" s="29"/>
      <c r="F35" s="29"/>
      <c r="G35" s="29"/>
      <c r="H35" s="29"/>
      <c r="I35" s="29"/>
      <c r="J35" s="29"/>
      <c r="K35" s="29"/>
      <c r="L35" s="29"/>
      <c r="M35" s="29"/>
    </row>
    <row r="36" spans="1:18" ht="15" customHeight="1" x14ac:dyDescent="0.2">
      <c r="A36" s="182" t="s">
        <v>193</v>
      </c>
      <c r="B36" s="182"/>
      <c r="C36" s="182"/>
      <c r="D36" s="182"/>
      <c r="E36" s="182"/>
      <c r="F36" s="182"/>
      <c r="G36" s="182"/>
      <c r="H36" s="182"/>
      <c r="I36" s="182"/>
      <c r="J36" s="182"/>
      <c r="K36" s="182"/>
      <c r="L36" s="182"/>
      <c r="M36" s="31"/>
    </row>
    <row r="37" spans="1:18" ht="15" customHeight="1" x14ac:dyDescent="0.2">
      <c r="A37" s="182"/>
      <c r="B37" s="182"/>
      <c r="C37" s="182"/>
      <c r="D37" s="182"/>
      <c r="E37" s="182"/>
      <c r="F37" s="182"/>
      <c r="G37" s="182"/>
      <c r="H37" s="182"/>
      <c r="I37" s="182"/>
      <c r="J37" s="182"/>
      <c r="K37" s="182"/>
      <c r="L37" s="182"/>
      <c r="M37" s="31"/>
      <c r="O37" s="26"/>
    </row>
    <row r="38" spans="1:18" ht="15" customHeight="1" x14ac:dyDescent="0.2">
      <c r="A38" s="182"/>
      <c r="B38" s="182"/>
      <c r="C38" s="182"/>
      <c r="D38" s="182"/>
      <c r="E38" s="182"/>
      <c r="F38" s="182"/>
      <c r="G38" s="182"/>
      <c r="H38" s="182"/>
      <c r="I38" s="182"/>
      <c r="J38" s="182"/>
      <c r="K38" s="182"/>
      <c r="L38" s="182"/>
      <c r="M38" s="31"/>
    </row>
    <row r="39" spans="1:18" ht="9.9499999999999993" customHeight="1" x14ac:dyDescent="0.2">
      <c r="A39" s="27"/>
      <c r="B39" s="27"/>
      <c r="C39" s="27"/>
      <c r="D39" s="27"/>
      <c r="E39" s="27"/>
      <c r="F39" s="27"/>
      <c r="G39" s="27"/>
      <c r="H39" s="27"/>
      <c r="I39" s="27"/>
      <c r="J39" s="27"/>
      <c r="K39" s="27"/>
      <c r="L39" s="27"/>
      <c r="M39" s="27"/>
    </row>
    <row r="40" spans="1:18" s="36" customFormat="1" ht="15" customHeight="1" x14ac:dyDescent="0.2">
      <c r="A40" s="182" t="s">
        <v>136</v>
      </c>
      <c r="B40" s="182"/>
      <c r="C40" s="182"/>
      <c r="D40" s="182"/>
      <c r="E40" s="182"/>
      <c r="F40" s="182"/>
      <c r="G40" s="182"/>
      <c r="H40" s="182"/>
      <c r="I40" s="182"/>
      <c r="J40" s="182"/>
      <c r="K40" s="182"/>
      <c r="L40" s="182"/>
      <c r="M40" s="31"/>
    </row>
    <row r="41" spans="1:18" ht="15" customHeight="1" x14ac:dyDescent="0.2">
      <c r="A41" s="182"/>
      <c r="B41" s="182"/>
      <c r="C41" s="182"/>
      <c r="D41" s="182"/>
      <c r="E41" s="182"/>
      <c r="F41" s="182"/>
      <c r="G41" s="182"/>
      <c r="H41" s="182"/>
      <c r="I41" s="182"/>
      <c r="J41" s="182"/>
      <c r="K41" s="182"/>
      <c r="L41" s="182"/>
      <c r="M41" s="31"/>
    </row>
    <row r="42" spans="1:18" ht="15" customHeight="1" x14ac:dyDescent="0.2">
      <c r="A42" s="182"/>
      <c r="B42" s="182"/>
      <c r="C42" s="182"/>
      <c r="D42" s="182"/>
      <c r="E42" s="182"/>
      <c r="F42" s="182"/>
      <c r="G42" s="182"/>
      <c r="H42" s="182"/>
      <c r="I42" s="182"/>
      <c r="J42" s="182"/>
      <c r="K42" s="182"/>
      <c r="L42" s="182"/>
      <c r="M42" s="31"/>
    </row>
    <row r="43" spans="1:18" ht="15" customHeight="1" x14ac:dyDescent="0.2">
      <c r="A43" s="182"/>
      <c r="B43" s="182"/>
      <c r="C43" s="182"/>
      <c r="D43" s="182"/>
      <c r="E43" s="182"/>
      <c r="F43" s="182"/>
      <c r="G43" s="182"/>
      <c r="H43" s="182"/>
      <c r="I43" s="182"/>
      <c r="J43" s="182"/>
      <c r="K43" s="182"/>
      <c r="L43" s="182"/>
      <c r="M43" s="31"/>
    </row>
    <row r="44" spans="1:18" ht="9.9499999999999993" customHeight="1" x14ac:dyDescent="0.2">
      <c r="A44" s="28"/>
      <c r="B44" s="28"/>
      <c r="C44" s="28"/>
      <c r="D44" s="28"/>
      <c r="E44" s="28"/>
      <c r="F44" s="28"/>
      <c r="G44" s="28"/>
      <c r="H44" s="28"/>
      <c r="I44" s="28"/>
      <c r="J44" s="28"/>
      <c r="K44" s="28"/>
      <c r="L44" s="28"/>
      <c r="M44" s="28"/>
    </row>
    <row r="45" spans="1:18" ht="15" customHeight="1" x14ac:dyDescent="0.2">
      <c r="A45" s="182" t="s">
        <v>70</v>
      </c>
      <c r="B45" s="182"/>
      <c r="C45" s="182"/>
      <c r="D45" s="182"/>
      <c r="E45" s="182"/>
      <c r="F45" s="182"/>
      <c r="G45" s="182"/>
      <c r="H45" s="182"/>
      <c r="I45" s="182"/>
      <c r="J45" s="182"/>
      <c r="K45" s="182"/>
      <c r="L45" s="182"/>
      <c r="M45" s="31"/>
      <c r="N45" s="31"/>
      <c r="O45" s="31"/>
      <c r="P45" s="31"/>
      <c r="Q45" s="31"/>
      <c r="R45" s="31"/>
    </row>
    <row r="46" spans="1:18" ht="15" customHeight="1" x14ac:dyDescent="0.2">
      <c r="A46" s="182"/>
      <c r="B46" s="182"/>
      <c r="C46" s="182"/>
      <c r="D46" s="182"/>
      <c r="E46" s="182"/>
      <c r="F46" s="182"/>
      <c r="G46" s="182"/>
      <c r="H46" s="182"/>
      <c r="I46" s="182"/>
      <c r="J46" s="182"/>
      <c r="K46" s="182"/>
      <c r="L46" s="182"/>
      <c r="M46" s="31"/>
      <c r="N46" s="31"/>
      <c r="O46" s="31"/>
      <c r="P46" s="31"/>
      <c r="Q46" s="31"/>
      <c r="R46" s="31"/>
    </row>
    <row r="47" spans="1:18" ht="15" customHeight="1" x14ac:dyDescent="0.2">
      <c r="A47" s="182"/>
      <c r="B47" s="182"/>
      <c r="C47" s="182"/>
      <c r="D47" s="182"/>
      <c r="E47" s="182"/>
      <c r="F47" s="182"/>
      <c r="G47" s="182"/>
      <c r="H47" s="182"/>
      <c r="I47" s="182"/>
      <c r="J47" s="182"/>
      <c r="K47" s="182"/>
      <c r="L47" s="182"/>
      <c r="M47" s="31"/>
      <c r="N47" s="31"/>
      <c r="O47" s="31"/>
      <c r="P47" s="31"/>
      <c r="Q47" s="31"/>
      <c r="R47" s="31"/>
    </row>
    <row r="48" spans="1:18" ht="15" customHeight="1" x14ac:dyDescent="0.2">
      <c r="A48" s="182"/>
      <c r="B48" s="182"/>
      <c r="C48" s="182"/>
      <c r="D48" s="182"/>
      <c r="E48" s="182"/>
      <c r="F48" s="182"/>
      <c r="G48" s="182"/>
      <c r="H48" s="182"/>
      <c r="I48" s="182"/>
      <c r="J48" s="182"/>
      <c r="K48" s="182"/>
      <c r="L48" s="182"/>
      <c r="M48" s="31"/>
      <c r="N48" s="31"/>
      <c r="O48" s="31"/>
      <c r="P48" s="31"/>
      <c r="Q48" s="31"/>
      <c r="R48" s="31"/>
    </row>
    <row r="49" spans="1:13" ht="15" customHeight="1" x14ac:dyDescent="0.2">
      <c r="A49" s="182"/>
      <c r="B49" s="182"/>
      <c r="C49" s="182"/>
      <c r="D49" s="182"/>
      <c r="E49" s="182"/>
      <c r="F49" s="182"/>
      <c r="G49" s="182"/>
      <c r="H49" s="182"/>
      <c r="I49" s="182"/>
      <c r="J49" s="182"/>
      <c r="K49" s="182"/>
      <c r="L49" s="182"/>
      <c r="M49" s="27"/>
    </row>
    <row r="50" spans="1:13" ht="9.9499999999999993" customHeight="1" x14ac:dyDescent="0.2">
      <c r="A50" s="27"/>
      <c r="B50" s="27"/>
      <c r="C50" s="27"/>
      <c r="D50" s="27"/>
      <c r="E50" s="27"/>
      <c r="F50" s="27"/>
      <c r="G50" s="27"/>
      <c r="H50" s="27"/>
      <c r="I50" s="27"/>
      <c r="J50" s="27"/>
      <c r="K50" s="27"/>
      <c r="L50" s="27"/>
      <c r="M50" s="27"/>
    </row>
    <row r="51" spans="1:13" ht="12.75" customHeight="1" x14ac:dyDescent="0.2">
      <c r="A51" s="182" t="s">
        <v>171</v>
      </c>
      <c r="B51" s="182"/>
      <c r="C51" s="182"/>
      <c r="D51" s="182"/>
      <c r="E51" s="182"/>
      <c r="F51" s="182"/>
      <c r="G51" s="182"/>
      <c r="H51" s="182"/>
      <c r="I51" s="182"/>
      <c r="J51" s="182"/>
      <c r="K51" s="182"/>
      <c r="L51" s="182"/>
      <c r="M51" s="27"/>
    </row>
    <row r="52" spans="1:13" ht="12.75" customHeight="1" x14ac:dyDescent="0.2">
      <c r="A52" s="182"/>
      <c r="B52" s="182"/>
      <c r="C52" s="182"/>
      <c r="D52" s="182"/>
      <c r="E52" s="182"/>
      <c r="F52" s="182"/>
      <c r="G52" s="182"/>
      <c r="H52" s="182"/>
      <c r="I52" s="182"/>
      <c r="J52" s="182"/>
      <c r="K52" s="182"/>
      <c r="L52" s="182"/>
      <c r="M52" s="27"/>
    </row>
    <row r="53" spans="1:13" ht="12.75" customHeight="1" x14ac:dyDescent="0.2">
      <c r="A53" s="182"/>
      <c r="B53" s="182"/>
      <c r="C53" s="182"/>
      <c r="D53" s="182"/>
      <c r="E53" s="182"/>
      <c r="F53" s="182"/>
      <c r="G53" s="182"/>
      <c r="H53" s="182"/>
      <c r="I53" s="182"/>
      <c r="J53" s="182"/>
      <c r="K53" s="182"/>
      <c r="L53" s="182"/>
      <c r="M53" s="27"/>
    </row>
    <row r="54" spans="1:13" ht="12.75" customHeight="1" x14ac:dyDescent="0.2">
      <c r="A54" s="182"/>
      <c r="B54" s="182"/>
      <c r="C54" s="182"/>
      <c r="D54" s="182"/>
      <c r="E54" s="182"/>
      <c r="F54" s="182"/>
      <c r="G54" s="182"/>
      <c r="H54" s="182"/>
      <c r="I54" s="182"/>
      <c r="J54" s="182"/>
      <c r="K54" s="182"/>
      <c r="L54" s="182"/>
      <c r="M54" s="27"/>
    </row>
    <row r="55" spans="1:13" ht="12.75" customHeight="1" x14ac:dyDescent="0.2">
      <c r="A55" s="182"/>
      <c r="B55" s="182"/>
      <c r="C55" s="182"/>
      <c r="D55" s="182"/>
      <c r="E55" s="182"/>
      <c r="F55" s="182"/>
      <c r="G55" s="182"/>
      <c r="H55" s="182"/>
      <c r="I55" s="182"/>
      <c r="J55" s="182"/>
      <c r="K55" s="182"/>
      <c r="L55" s="182"/>
      <c r="M55" s="27"/>
    </row>
    <row r="56" spans="1:13" x14ac:dyDescent="0.2">
      <c r="A56" s="182"/>
      <c r="B56" s="182"/>
      <c r="C56" s="182"/>
      <c r="D56" s="182"/>
      <c r="E56" s="182"/>
      <c r="F56" s="182"/>
      <c r="G56" s="182"/>
      <c r="H56" s="182"/>
      <c r="I56" s="182"/>
      <c r="J56" s="182"/>
      <c r="K56" s="182"/>
      <c r="L56" s="182"/>
      <c r="M56" s="27"/>
    </row>
    <row r="57" spans="1:13" ht="9.9499999999999993" customHeight="1" x14ac:dyDescent="0.2">
      <c r="A57" s="27"/>
      <c r="B57" s="27"/>
      <c r="C57" s="27"/>
      <c r="D57" s="27"/>
      <c r="E57" s="27"/>
      <c r="F57" s="27"/>
      <c r="G57" s="27"/>
      <c r="H57" s="27"/>
      <c r="I57" s="27"/>
      <c r="J57" s="27"/>
      <c r="K57" s="27"/>
      <c r="L57" s="27"/>
      <c r="M57" s="27"/>
    </row>
    <row r="58" spans="1:13" ht="15.75" x14ac:dyDescent="0.25">
      <c r="A58" s="181" t="s">
        <v>172</v>
      </c>
      <c r="B58" s="181"/>
      <c r="C58" s="181"/>
      <c r="D58" s="181"/>
      <c r="E58" s="181"/>
      <c r="F58" s="181"/>
      <c r="G58" s="181"/>
      <c r="H58" s="181"/>
      <c r="I58" s="181"/>
      <c r="J58" s="181"/>
      <c r="K58" s="181"/>
      <c r="L58" s="181"/>
      <c r="M58" s="27"/>
    </row>
    <row r="59" spans="1:13" x14ac:dyDescent="0.2">
      <c r="A59" s="27"/>
      <c r="B59" s="27"/>
      <c r="C59" s="27"/>
      <c r="D59" s="27"/>
      <c r="E59" s="27"/>
      <c r="F59" s="27"/>
      <c r="G59" s="27"/>
      <c r="H59" s="27"/>
      <c r="I59" s="27"/>
      <c r="J59" s="27"/>
      <c r="K59" s="27"/>
      <c r="L59" s="27"/>
      <c r="M59" s="27"/>
    </row>
    <row r="60" spans="1:13" x14ac:dyDescent="0.2">
      <c r="A60" s="27"/>
      <c r="B60" s="27"/>
      <c r="C60" s="27"/>
      <c r="D60" s="27"/>
      <c r="E60" s="27"/>
      <c r="F60" s="27"/>
      <c r="G60" s="27"/>
      <c r="H60" s="27"/>
      <c r="I60" s="27"/>
      <c r="J60" s="27"/>
      <c r="K60" s="27"/>
      <c r="L60" s="27"/>
      <c r="M60" s="27"/>
    </row>
    <row r="61" spans="1:13" x14ac:dyDescent="0.2">
      <c r="A61" s="27"/>
      <c r="B61" s="27"/>
      <c r="C61" s="27"/>
      <c r="D61" s="27"/>
      <c r="E61" s="27"/>
      <c r="F61" s="27"/>
      <c r="G61" s="27"/>
      <c r="H61" s="27"/>
      <c r="I61" s="27"/>
      <c r="J61" s="27"/>
      <c r="K61" s="27"/>
      <c r="L61" s="27"/>
      <c r="M61" s="27"/>
    </row>
    <row r="62" spans="1:13" x14ac:dyDescent="0.2">
      <c r="A62" s="27"/>
      <c r="B62" s="27"/>
      <c r="C62" s="27"/>
      <c r="D62" s="27"/>
      <c r="E62" s="27"/>
      <c r="F62" s="27"/>
      <c r="G62" s="27"/>
      <c r="H62" s="27"/>
      <c r="I62" s="27"/>
      <c r="J62" s="27"/>
      <c r="K62" s="27"/>
      <c r="L62" s="27"/>
      <c r="M62" s="27"/>
    </row>
    <row r="63" spans="1:13" x14ac:dyDescent="0.2">
      <c r="A63" s="27"/>
      <c r="B63" s="27"/>
      <c r="C63" s="27"/>
      <c r="D63" s="27"/>
      <c r="E63" s="27"/>
      <c r="F63" s="27"/>
      <c r="G63" s="27"/>
      <c r="H63" s="27"/>
      <c r="I63" s="27"/>
      <c r="J63" s="27"/>
      <c r="K63" s="27"/>
      <c r="L63" s="27"/>
      <c r="M63" s="27"/>
    </row>
  </sheetData>
  <sheetProtection algorithmName="SHA-512" hashValue="K6J7SGiWWXYAToBV2HoTKIuyRbgwd3ed9wrKzqCqus3g9Hdjp6XICCR8EaGq3dzCBt/EI6xFMuUBGtqgaqTF/w==" saltValue="xbEyEAEMeffqfd5cI98s+g==" spinCount="100000" sheet="1" selectLockedCells="1"/>
  <mergeCells count="17">
    <mergeCell ref="A1:L1"/>
    <mergeCell ref="A5:L6"/>
    <mergeCell ref="A8:L10"/>
    <mergeCell ref="A14:L15"/>
    <mergeCell ref="A19:L20"/>
    <mergeCell ref="A17:L17"/>
    <mergeCell ref="A58:L58"/>
    <mergeCell ref="A45:L49"/>
    <mergeCell ref="A12:L12"/>
    <mergeCell ref="A3:L3"/>
    <mergeCell ref="A51:L56"/>
    <mergeCell ref="A24:L25"/>
    <mergeCell ref="A31:L34"/>
    <mergeCell ref="A36:L38"/>
    <mergeCell ref="A40:L43"/>
    <mergeCell ref="A22:L22"/>
    <mergeCell ref="A27:L29"/>
  </mergeCells>
  <pageMargins left="0" right="0" top="0" bottom="0"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F46"/>
  <sheetViews>
    <sheetView workbookViewId="0">
      <selection sqref="A1:IV65536"/>
    </sheetView>
  </sheetViews>
  <sheetFormatPr defaultRowHeight="12.75" x14ac:dyDescent="0.2"/>
  <cols>
    <col min="1" max="1" width="8.140625" style="1" customWidth="1"/>
    <col min="2" max="2" width="10.7109375" style="1" customWidth="1"/>
    <col min="3" max="3" width="12.140625" style="1" customWidth="1"/>
    <col min="4" max="4" width="11.5703125" style="1" bestFit="1" customWidth="1"/>
    <col min="5" max="5" width="12.140625" style="1" customWidth="1"/>
    <col min="6" max="7" width="13" style="1" customWidth="1"/>
    <col min="8" max="8" width="11.5703125" style="1" customWidth="1"/>
    <col min="9" max="10" width="11.28515625" style="1" customWidth="1"/>
    <col min="11" max="11" width="11.5703125" style="1" bestFit="1" customWidth="1"/>
    <col min="12" max="15" width="11.5703125" style="1" customWidth="1"/>
    <col min="16" max="16" width="15.140625" style="1" customWidth="1"/>
    <col min="17" max="17" width="12.140625" style="1" customWidth="1"/>
    <col min="18" max="18" width="11.5703125" style="1" bestFit="1" customWidth="1"/>
    <col min="19" max="19" width="15.28515625" style="35" customWidth="1"/>
    <col min="20" max="21" width="10.7109375" style="35" customWidth="1"/>
    <col min="22" max="22" width="17.5703125" style="1" customWidth="1"/>
    <col min="23" max="23" width="9.42578125" style="4" customWidth="1"/>
    <col min="24" max="24" width="20.42578125" style="1" bestFit="1" customWidth="1"/>
    <col min="25" max="25" width="18.42578125" style="1" customWidth="1"/>
    <col min="26" max="56" width="16.7109375" style="1" customWidth="1"/>
    <col min="57" max="16384" width="9.140625" style="1"/>
  </cols>
  <sheetData>
    <row r="1" spans="1:58" ht="15.75" x14ac:dyDescent="0.25">
      <c r="A1" s="186" t="s">
        <v>114</v>
      </c>
      <c r="B1" s="186"/>
      <c r="C1" s="186"/>
      <c r="D1" s="186"/>
      <c r="E1" s="186"/>
      <c r="F1" s="186"/>
      <c r="G1" s="186"/>
      <c r="H1" s="186"/>
      <c r="I1" s="186"/>
      <c r="J1" s="186"/>
      <c r="K1" s="186"/>
      <c r="L1" s="186"/>
      <c r="M1" s="186"/>
      <c r="N1" s="186"/>
      <c r="O1" s="186"/>
      <c r="P1" s="186"/>
      <c r="Q1" s="186"/>
      <c r="R1" s="186"/>
      <c r="S1" s="186"/>
      <c r="T1" s="186"/>
      <c r="U1" s="186"/>
      <c r="V1" s="186"/>
      <c r="W1" s="186"/>
      <c r="X1" s="186"/>
    </row>
    <row r="2" spans="1:58" ht="36" x14ac:dyDescent="0.2">
      <c r="A2" s="14" t="s">
        <v>17</v>
      </c>
      <c r="B2" s="15" t="s">
        <v>123</v>
      </c>
      <c r="C2" s="15" t="s">
        <v>124</v>
      </c>
      <c r="D2" s="15" t="s">
        <v>94</v>
      </c>
      <c r="E2" s="14" t="s">
        <v>38</v>
      </c>
      <c r="F2" s="14" t="s">
        <v>164</v>
      </c>
      <c r="G2" s="14" t="s">
        <v>44</v>
      </c>
      <c r="H2" s="15" t="s">
        <v>155</v>
      </c>
      <c r="I2" s="15" t="s">
        <v>179</v>
      </c>
      <c r="J2" s="15" t="s">
        <v>180</v>
      </c>
      <c r="K2" s="15" t="s">
        <v>36</v>
      </c>
      <c r="L2" s="15" t="s">
        <v>154</v>
      </c>
      <c r="M2" s="15" t="s">
        <v>150</v>
      </c>
      <c r="N2" s="15" t="s">
        <v>18</v>
      </c>
      <c r="O2" s="15" t="s">
        <v>181</v>
      </c>
      <c r="P2" s="15" t="s">
        <v>189</v>
      </c>
      <c r="Q2" s="15" t="s">
        <v>19</v>
      </c>
      <c r="R2" s="15" t="s">
        <v>39</v>
      </c>
      <c r="S2" s="50" t="s">
        <v>190</v>
      </c>
      <c r="T2" s="50" t="s">
        <v>128</v>
      </c>
      <c r="U2" s="15" t="s">
        <v>41</v>
      </c>
      <c r="V2" s="14" t="s">
        <v>95</v>
      </c>
      <c r="W2" s="25" t="s">
        <v>72</v>
      </c>
      <c r="X2" s="25"/>
      <c r="Y2" s="14" t="s">
        <v>58</v>
      </c>
      <c r="Z2" s="14">
        <v>0</v>
      </c>
      <c r="AA2" s="1">
        <v>1</v>
      </c>
      <c r="AB2" s="1">
        <v>2</v>
      </c>
      <c r="AC2" s="1">
        <v>3</v>
      </c>
      <c r="AD2" s="22">
        <v>4</v>
      </c>
      <c r="AE2" s="15">
        <v>5</v>
      </c>
      <c r="AF2" s="1">
        <v>6</v>
      </c>
      <c r="AG2" s="1">
        <v>7</v>
      </c>
      <c r="AH2" s="1">
        <v>8</v>
      </c>
      <c r="AI2" s="1">
        <v>9</v>
      </c>
      <c r="AJ2" s="1">
        <v>10</v>
      </c>
      <c r="AK2" s="1">
        <v>11</v>
      </c>
      <c r="AL2" s="1">
        <v>12</v>
      </c>
      <c r="AM2" s="1">
        <v>13</v>
      </c>
      <c r="AN2" s="1">
        <v>14</v>
      </c>
      <c r="AO2" s="1">
        <v>15</v>
      </c>
      <c r="AP2" s="1">
        <v>16</v>
      </c>
      <c r="AQ2" s="1">
        <v>17</v>
      </c>
      <c r="AR2" s="1">
        <v>18</v>
      </c>
      <c r="AS2" s="1">
        <v>19</v>
      </c>
      <c r="AT2" s="1">
        <v>20</v>
      </c>
      <c r="AU2" s="1">
        <v>21</v>
      </c>
      <c r="AV2" s="1">
        <v>22</v>
      </c>
      <c r="AW2" s="1">
        <v>23</v>
      </c>
      <c r="AX2" s="1">
        <v>24</v>
      </c>
      <c r="AY2" s="1">
        <v>25</v>
      </c>
      <c r="AZ2" s="1">
        <v>26</v>
      </c>
      <c r="BA2" s="1">
        <v>27</v>
      </c>
      <c r="BB2" s="1">
        <v>28</v>
      </c>
      <c r="BC2" s="1">
        <v>29</v>
      </c>
      <c r="BD2" s="1">
        <v>30</v>
      </c>
    </row>
    <row r="3" spans="1:58" x14ac:dyDescent="0.2">
      <c r="A3" s="9">
        <v>0</v>
      </c>
      <c r="B3" s="59">
        <v>0</v>
      </c>
      <c r="C3" s="3">
        <v>0</v>
      </c>
      <c r="D3" s="3">
        <v>0</v>
      </c>
      <c r="E3" s="3">
        <v>0</v>
      </c>
      <c r="F3" s="3">
        <v>0</v>
      </c>
      <c r="G3" s="3"/>
      <c r="H3" s="3"/>
      <c r="I3" s="59">
        <v>0</v>
      </c>
      <c r="J3" s="59"/>
      <c r="K3" s="59">
        <f>'Property Overview'!C56</f>
        <v>700000</v>
      </c>
      <c r="L3" s="59">
        <v>0</v>
      </c>
      <c r="M3" s="59">
        <f>K3+L3</f>
        <v>700000</v>
      </c>
      <c r="N3" s="59">
        <f>IF('Property Overview'!C45="No",IF(A3&gt;='Property Overview'!C48,0,('Property Overview'!C46-'Property Overview'!C51)*(1+'Property Overview'!C49/12)^(A3*12)+'Property Overview'!L51/12*(((1+('Property Overview'!C49/12))^(A3*12)-1)/('Property Overview'!C49/12)))*(-1),0)</f>
        <v>-504000</v>
      </c>
      <c r="O3" s="59">
        <f>M3+N3</f>
        <v>196000</v>
      </c>
      <c r="Q3" s="59">
        <f>-M3*'Property Overview'!H49</f>
        <v>-42000</v>
      </c>
      <c r="R3" s="41">
        <f>K3+Q3+N3</f>
        <v>154000</v>
      </c>
      <c r="S3" s="83"/>
      <c r="T3" s="12"/>
      <c r="U3" s="59">
        <f>-'Property Overview'!C55</f>
        <v>-146000</v>
      </c>
      <c r="V3" s="59">
        <v>0</v>
      </c>
      <c r="W3" s="60"/>
      <c r="X3" s="3"/>
      <c r="Y3" s="3"/>
      <c r="Z3" s="24">
        <f>AA3</f>
        <v>-146000</v>
      </c>
      <c r="AA3" s="24">
        <f>U4</f>
        <v>-146000</v>
      </c>
      <c r="AB3" s="24">
        <f>AA3</f>
        <v>-146000</v>
      </c>
      <c r="AC3" s="24">
        <f t="shared" ref="AC3:BD3" si="0">AB3</f>
        <v>-146000</v>
      </c>
      <c r="AD3" s="24">
        <f t="shared" si="0"/>
        <v>-146000</v>
      </c>
      <c r="AE3" s="24">
        <f t="shared" si="0"/>
        <v>-146000</v>
      </c>
      <c r="AF3" s="24">
        <f t="shared" si="0"/>
        <v>-146000</v>
      </c>
      <c r="AG3" s="24">
        <f t="shared" si="0"/>
        <v>-146000</v>
      </c>
      <c r="AH3" s="24">
        <f t="shared" si="0"/>
        <v>-146000</v>
      </c>
      <c r="AI3" s="24">
        <f t="shared" si="0"/>
        <v>-146000</v>
      </c>
      <c r="AJ3" s="24">
        <f t="shared" si="0"/>
        <v>-146000</v>
      </c>
      <c r="AK3" s="24">
        <f t="shared" si="0"/>
        <v>-146000</v>
      </c>
      <c r="AL3" s="24">
        <f t="shared" si="0"/>
        <v>-146000</v>
      </c>
      <c r="AM3" s="24">
        <f t="shared" si="0"/>
        <v>-146000</v>
      </c>
      <c r="AN3" s="24">
        <f t="shared" si="0"/>
        <v>-146000</v>
      </c>
      <c r="AO3" s="24">
        <f t="shared" si="0"/>
        <v>-146000</v>
      </c>
      <c r="AP3" s="24">
        <f t="shared" si="0"/>
        <v>-146000</v>
      </c>
      <c r="AQ3" s="24">
        <f t="shared" si="0"/>
        <v>-146000</v>
      </c>
      <c r="AR3" s="24">
        <f t="shared" si="0"/>
        <v>-146000</v>
      </c>
      <c r="AS3" s="24">
        <f t="shared" si="0"/>
        <v>-146000</v>
      </c>
      <c r="AT3" s="24">
        <f t="shared" si="0"/>
        <v>-146000</v>
      </c>
      <c r="AU3" s="24">
        <f t="shared" si="0"/>
        <v>-146000</v>
      </c>
      <c r="AV3" s="24">
        <f t="shared" si="0"/>
        <v>-146000</v>
      </c>
      <c r="AW3" s="24">
        <f t="shared" si="0"/>
        <v>-146000</v>
      </c>
      <c r="AX3" s="24">
        <f t="shared" si="0"/>
        <v>-146000</v>
      </c>
      <c r="AY3" s="24">
        <f t="shared" si="0"/>
        <v>-146000</v>
      </c>
      <c r="AZ3" s="24">
        <f t="shared" si="0"/>
        <v>-146000</v>
      </c>
      <c r="BA3" s="24">
        <f t="shared" si="0"/>
        <v>-146000</v>
      </c>
      <c r="BB3" s="24">
        <f t="shared" si="0"/>
        <v>-146000</v>
      </c>
      <c r="BC3" s="24">
        <f t="shared" si="0"/>
        <v>-146000</v>
      </c>
      <c r="BD3" s="24">
        <f t="shared" si="0"/>
        <v>-146000</v>
      </c>
      <c r="BE3" s="3"/>
      <c r="BF3" s="3"/>
    </row>
    <row r="4" spans="1:58" x14ac:dyDescent="0.2">
      <c r="A4" s="82">
        <v>1</v>
      </c>
      <c r="B4" s="41">
        <f>F4+H4+'Property Overview'!L52*((1+'Property Overview'!H47)^(Calculations!A4-1))</f>
        <v>10071.777281322269</v>
      </c>
      <c r="C4" s="41">
        <v>0</v>
      </c>
      <c r="D4" s="41">
        <f>D3+B4</f>
        <v>10071.777281322269</v>
      </c>
      <c r="E4" s="59">
        <f>'Financial Analysis'!B7+'Financial Analysis'!B16</f>
        <v>38430</v>
      </c>
      <c r="F4" s="59">
        <f>E4+'Financial Analysis'!B8+'Financial Analysis'!B17</f>
        <v>38430</v>
      </c>
      <c r="G4" s="59">
        <f>'Property Overview'!L52</f>
        <v>-1200</v>
      </c>
      <c r="H4" s="41">
        <f>IF(A4&gt;='Property Overview'!C48+1,0,'Property Overview'!L51)</f>
        <v>-27158.222718677731</v>
      </c>
      <c r="I4" s="59">
        <f t="shared" ref="I4:I33" si="1">F4+G4+H4</f>
        <v>10071.777281322269</v>
      </c>
      <c r="J4" s="12">
        <f t="shared" ref="J4:J33" si="2">I4/-U4</f>
        <v>6.8984775899467596E-2</v>
      </c>
      <c r="K4" s="59">
        <f>IF('Property Overview'!H53="Yes",F4/'Property Overview'!H45,(1+'Property Overview'!H46)*'Property Overview'!C56)</f>
        <v>721000</v>
      </c>
      <c r="L4" s="59">
        <f>'Financial Analysis'!B28</f>
        <v>0</v>
      </c>
      <c r="M4" s="59">
        <f>K4+L4</f>
        <v>721000</v>
      </c>
      <c r="N4" s="59">
        <f>IF('Property Overview'!C45="No",IF(A4&gt;='Property Overview'!C48,0,('Property Overview'!C46-'Property Overview'!C51)*(1+'Property Overview'!C49/12)^(A4*12)+'Property Overview'!L51/12*(((1+('Property Overview'!C49/12))^(A4*12)-1)/('Property Overview'!C49/12)))*(-1),0)</f>
        <v>-494327.59486958635</v>
      </c>
      <c r="O4" s="59">
        <f>M4+N4</f>
        <v>226672.40513041365</v>
      </c>
      <c r="P4" s="35">
        <f t="shared" ref="P4:P33" si="3">(O4-O3+I4)/-U4</f>
        <v>0.27906974254613642</v>
      </c>
      <c r="Q4" s="59">
        <f>-M4*'Property Overview'!H49</f>
        <v>-43260</v>
      </c>
      <c r="R4" s="41">
        <f t="shared" ref="R4:R33" si="4">M4+Q4+N4</f>
        <v>183412.40513041365</v>
      </c>
      <c r="S4" s="83">
        <f>(R4-R3+I4)/-U4</f>
        <v>0.27043960555983509</v>
      </c>
      <c r="T4" s="83">
        <f t="shared" ref="T4:T33" si="5">(R4-R3+B4)/R3</f>
        <v>0.2563907948814021</v>
      </c>
      <c r="U4" s="59">
        <f>U3</f>
        <v>-146000</v>
      </c>
      <c r="V4" s="59">
        <f t="shared" ref="V4:V33" si="6">D4+U4+R4</f>
        <v>47484.182411735936</v>
      </c>
      <c r="W4" s="13">
        <f>(Calculations!V4/(-Calculations!U4)+1)^(1/Calculations!A4)-1</f>
        <v>0.32523412610778046</v>
      </c>
      <c r="X4" s="42"/>
      <c r="Y4" s="84">
        <f t="shared" ref="Y4:Y33" si="7">B4+R4</f>
        <v>193484.18241173594</v>
      </c>
      <c r="Z4" s="84"/>
      <c r="AA4" s="24">
        <f>Y4</f>
        <v>193484.18241173594</v>
      </c>
      <c r="AB4" s="24">
        <f>B4</f>
        <v>10071.777281322269</v>
      </c>
      <c r="AC4" s="24">
        <f>AB4</f>
        <v>10071.777281322269</v>
      </c>
      <c r="AD4" s="24">
        <f t="shared" ref="AD4:BD4" si="8">AC4</f>
        <v>10071.777281322269</v>
      </c>
      <c r="AE4" s="24">
        <f t="shared" si="8"/>
        <v>10071.777281322269</v>
      </c>
      <c r="AF4" s="24">
        <f t="shared" si="8"/>
        <v>10071.777281322269</v>
      </c>
      <c r="AG4" s="24">
        <f t="shared" si="8"/>
        <v>10071.777281322269</v>
      </c>
      <c r="AH4" s="24">
        <f t="shared" si="8"/>
        <v>10071.777281322269</v>
      </c>
      <c r="AI4" s="24">
        <f t="shared" si="8"/>
        <v>10071.777281322269</v>
      </c>
      <c r="AJ4" s="24">
        <f t="shared" si="8"/>
        <v>10071.777281322269</v>
      </c>
      <c r="AK4" s="24">
        <f t="shared" si="8"/>
        <v>10071.777281322269</v>
      </c>
      <c r="AL4" s="24">
        <f t="shared" si="8"/>
        <v>10071.777281322269</v>
      </c>
      <c r="AM4" s="24">
        <f t="shared" si="8"/>
        <v>10071.777281322269</v>
      </c>
      <c r="AN4" s="24">
        <f t="shared" si="8"/>
        <v>10071.777281322269</v>
      </c>
      <c r="AO4" s="24">
        <f t="shared" si="8"/>
        <v>10071.777281322269</v>
      </c>
      <c r="AP4" s="24">
        <f t="shared" si="8"/>
        <v>10071.777281322269</v>
      </c>
      <c r="AQ4" s="24">
        <f t="shared" si="8"/>
        <v>10071.777281322269</v>
      </c>
      <c r="AR4" s="24">
        <f t="shared" si="8"/>
        <v>10071.777281322269</v>
      </c>
      <c r="AS4" s="24">
        <f t="shared" si="8"/>
        <v>10071.777281322269</v>
      </c>
      <c r="AT4" s="24">
        <f t="shared" si="8"/>
        <v>10071.777281322269</v>
      </c>
      <c r="AU4" s="24">
        <f t="shared" si="8"/>
        <v>10071.777281322269</v>
      </c>
      <c r="AV4" s="24">
        <f t="shared" si="8"/>
        <v>10071.777281322269</v>
      </c>
      <c r="AW4" s="24">
        <f t="shared" si="8"/>
        <v>10071.777281322269</v>
      </c>
      <c r="AX4" s="24">
        <f t="shared" si="8"/>
        <v>10071.777281322269</v>
      </c>
      <c r="AY4" s="24">
        <f t="shared" si="8"/>
        <v>10071.777281322269</v>
      </c>
      <c r="AZ4" s="24">
        <f t="shared" si="8"/>
        <v>10071.777281322269</v>
      </c>
      <c r="BA4" s="24">
        <f t="shared" si="8"/>
        <v>10071.777281322269</v>
      </c>
      <c r="BB4" s="24">
        <f t="shared" si="8"/>
        <v>10071.777281322269</v>
      </c>
      <c r="BC4" s="24">
        <f t="shared" si="8"/>
        <v>10071.777281322269</v>
      </c>
      <c r="BD4" s="24">
        <f t="shared" si="8"/>
        <v>10071.777281322269</v>
      </c>
      <c r="BE4" s="3"/>
      <c r="BF4" s="3"/>
    </row>
    <row r="5" spans="1:58" x14ac:dyDescent="0.2">
      <c r="A5" s="82">
        <v>2</v>
      </c>
      <c r="B5" s="41">
        <f>F5+H5+'Property Overview'!L52*((1+'Property Overview'!H47)^(Calculations!A5-1))</f>
        <v>10910.877281322268</v>
      </c>
      <c r="C5" s="41">
        <f>B4+C4</f>
        <v>10071.777281322269</v>
      </c>
      <c r="D5" s="41">
        <f>B5+C5</f>
        <v>20982.654562644537</v>
      </c>
      <c r="E5" s="59">
        <f>'Financial Analysis'!B7*((1+'Property Overview'!H47)^(A5-1))+('Financial Analysis'!B16-'Financial Analysis'!B14)*((1+'Property Overview'!H48)^(A5-1))+('Financial Analysis'!B14)*(('Property Overview'!H47+1)^(A5-1))</f>
        <v>39293.1</v>
      </c>
      <c r="F5" s="59">
        <f>E5+'Financial Analysis'!C8+'Financial Analysis'!C17</f>
        <v>39293.1</v>
      </c>
      <c r="G5" s="59">
        <f>G4*('Property Overview'!H47+1)</f>
        <v>-1224</v>
      </c>
      <c r="H5" s="41">
        <f>IF(A5&gt;='Property Overview'!C48+1,0,'Property Overview'!L51)</f>
        <v>-27158.222718677731</v>
      </c>
      <c r="I5" s="59">
        <f t="shared" si="1"/>
        <v>10910.877281322268</v>
      </c>
      <c r="J5" s="12">
        <f t="shared" si="2"/>
        <v>7.4732036173440194E-2</v>
      </c>
      <c r="K5" s="59">
        <f>IF('Property Overview'!H53="Yes",F5/'Property Overview'!H45,(1+'Property Overview'!H46)*M4)</f>
        <v>742630</v>
      </c>
      <c r="L5" s="59">
        <f>'Financial Analysis'!C28</f>
        <v>0</v>
      </c>
      <c r="M5" s="59">
        <f t="shared" ref="M5:M33" si="9">K5+L5</f>
        <v>742630</v>
      </c>
      <c r="N5" s="59">
        <f>IF('Property Overview'!C45="No",IF(A5&gt;='Property Overview'!C48,0,('Property Overview'!C46-'Property Overview'!C51)*(1+'Property Overview'!C49/12)^(A5*12)+'Property Overview'!L51/12*(((1+('Property Overview'!C49/12))^(A5*12)-1)/('Property Overview'!C49/12)))*(-1),0)</f>
        <v>-484311.17176102498</v>
      </c>
      <c r="O5" s="59">
        <f>M5+N5</f>
        <v>258318.82823897502</v>
      </c>
      <c r="P5" s="35">
        <f t="shared" si="3"/>
        <v>0.29148835883481944</v>
      </c>
      <c r="Q5" s="59">
        <f>-M5*'Property Overview'!H49</f>
        <v>-44557.799999999996</v>
      </c>
      <c r="R5" s="41">
        <f t="shared" si="4"/>
        <v>213761.02823897498</v>
      </c>
      <c r="S5" s="83">
        <f t="shared" ref="S5:S33" si="10">(R5-R4+I5)/-U5</f>
        <v>0.28259931773892871</v>
      </c>
      <c r="T5" s="83">
        <f t="shared" si="5"/>
        <v>0.22495479714442659</v>
      </c>
      <c r="U5" s="59">
        <f>U4</f>
        <v>-146000</v>
      </c>
      <c r="V5" s="59">
        <f t="shared" si="6"/>
        <v>88743.682801619521</v>
      </c>
      <c r="W5" s="13">
        <f>(Calculations!V5/(-Calculations!U5)+1)^(1/Calculations!A5)-1</f>
        <v>0.26800372390884908</v>
      </c>
      <c r="X5" s="42"/>
      <c r="Y5" s="84">
        <f t="shared" si="7"/>
        <v>224671.90552029724</v>
      </c>
      <c r="Z5" s="84"/>
      <c r="AA5" s="24"/>
      <c r="AB5" s="24">
        <f>Y5</f>
        <v>224671.90552029724</v>
      </c>
      <c r="AC5" s="24">
        <f>B5</f>
        <v>10910.877281322268</v>
      </c>
      <c r="AD5" s="24">
        <f>AC5</f>
        <v>10910.877281322268</v>
      </c>
      <c r="AE5" s="24">
        <f t="shared" ref="AE5:BD5" si="11">AD5</f>
        <v>10910.877281322268</v>
      </c>
      <c r="AF5" s="24">
        <f t="shared" si="11"/>
        <v>10910.877281322268</v>
      </c>
      <c r="AG5" s="24">
        <f t="shared" si="11"/>
        <v>10910.877281322268</v>
      </c>
      <c r="AH5" s="24">
        <f t="shared" si="11"/>
        <v>10910.877281322268</v>
      </c>
      <c r="AI5" s="24">
        <f t="shared" si="11"/>
        <v>10910.877281322268</v>
      </c>
      <c r="AJ5" s="24">
        <f t="shared" si="11"/>
        <v>10910.877281322268</v>
      </c>
      <c r="AK5" s="24">
        <f t="shared" si="11"/>
        <v>10910.877281322268</v>
      </c>
      <c r="AL5" s="24">
        <f t="shared" si="11"/>
        <v>10910.877281322268</v>
      </c>
      <c r="AM5" s="24">
        <f t="shared" si="11"/>
        <v>10910.877281322268</v>
      </c>
      <c r="AN5" s="24">
        <f t="shared" si="11"/>
        <v>10910.877281322268</v>
      </c>
      <c r="AO5" s="24">
        <f t="shared" si="11"/>
        <v>10910.877281322268</v>
      </c>
      <c r="AP5" s="24">
        <f t="shared" si="11"/>
        <v>10910.877281322268</v>
      </c>
      <c r="AQ5" s="24">
        <f t="shared" si="11"/>
        <v>10910.877281322268</v>
      </c>
      <c r="AR5" s="24">
        <f t="shared" si="11"/>
        <v>10910.877281322268</v>
      </c>
      <c r="AS5" s="24">
        <f t="shared" si="11"/>
        <v>10910.877281322268</v>
      </c>
      <c r="AT5" s="24">
        <f t="shared" si="11"/>
        <v>10910.877281322268</v>
      </c>
      <c r="AU5" s="24">
        <f t="shared" si="11"/>
        <v>10910.877281322268</v>
      </c>
      <c r="AV5" s="24">
        <f t="shared" si="11"/>
        <v>10910.877281322268</v>
      </c>
      <c r="AW5" s="24">
        <f t="shared" si="11"/>
        <v>10910.877281322268</v>
      </c>
      <c r="AX5" s="24">
        <f t="shared" si="11"/>
        <v>10910.877281322268</v>
      </c>
      <c r="AY5" s="24">
        <f t="shared" si="11"/>
        <v>10910.877281322268</v>
      </c>
      <c r="AZ5" s="24">
        <f t="shared" si="11"/>
        <v>10910.877281322268</v>
      </c>
      <c r="BA5" s="24">
        <f t="shared" si="11"/>
        <v>10910.877281322268</v>
      </c>
      <c r="BB5" s="24">
        <f t="shared" si="11"/>
        <v>10910.877281322268</v>
      </c>
      <c r="BC5" s="24">
        <f t="shared" si="11"/>
        <v>10910.877281322268</v>
      </c>
      <c r="BD5" s="24">
        <f t="shared" si="11"/>
        <v>10910.877281322268</v>
      </c>
      <c r="BE5" s="3"/>
      <c r="BF5" s="3"/>
    </row>
    <row r="6" spans="1:58" x14ac:dyDescent="0.2">
      <c r="A6" s="82">
        <v>3</v>
      </c>
      <c r="B6" s="41">
        <f>F6+H6+'Property Overview'!L52*((1+'Property Overview'!H47)^(Calculations!A6-1))</f>
        <v>11767.704281322269</v>
      </c>
      <c r="C6" s="41">
        <f t="shared" ref="C6:C33" si="12">B5+C5</f>
        <v>20982.654562644537</v>
      </c>
      <c r="D6" s="41">
        <f>B6+C6</f>
        <v>32750.358843966806</v>
      </c>
      <c r="E6" s="59">
        <f>'Financial Analysis'!B7*((1+'Property Overview'!H47)^(A6-1))+('Financial Analysis'!B16-'Financial Analysis'!B14)*((1+'Property Overview'!H48)^(A6-1))+('Financial Analysis'!B14)*(('Property Overview'!H47+1)^(A6-1))</f>
        <v>40174.406999999999</v>
      </c>
      <c r="F6" s="59">
        <f>E6+'Financial Analysis'!D8+'Financial Analysis'!D17</f>
        <v>40174.406999999999</v>
      </c>
      <c r="G6" s="59">
        <f>G5*('Property Overview'!H47+1)</f>
        <v>-1248.48</v>
      </c>
      <c r="H6" s="41">
        <f>IF(A6&gt;='Property Overview'!C48+1,0,'Property Overview'!L51)</f>
        <v>-27158.222718677731</v>
      </c>
      <c r="I6" s="59">
        <f t="shared" si="1"/>
        <v>11767.704281322265</v>
      </c>
      <c r="J6" s="12">
        <f t="shared" si="2"/>
        <v>8.060071425563195E-2</v>
      </c>
      <c r="K6" s="59">
        <f>IF('Property Overview'!H53="Yes",F6/'Property Overview'!H45,(1+'Property Overview'!H46)*M5)</f>
        <v>764908.9</v>
      </c>
      <c r="L6" s="59">
        <f>'Financial Analysis'!D28</f>
        <v>0</v>
      </c>
      <c r="M6" s="59">
        <f t="shared" si="9"/>
        <v>764908.9</v>
      </c>
      <c r="N6" s="59">
        <f>IF('Property Overview'!C45="No",IF(A6&gt;='Property Overview'!C48,0,('Property Overview'!C46-'Property Overview'!C51)*(1+'Property Overview'!C49/12)^(A6*12)+'Property Overview'!L51/12*(((1+('Property Overview'!C49/12))^(A6*12)-1)/('Property Overview'!C49/12)))*(-1),0)</f>
        <v>-473938.49500307435</v>
      </c>
      <c r="O6" s="59">
        <f>M6+N6</f>
        <v>290970.40499692567</v>
      </c>
      <c r="P6" s="35">
        <f t="shared" si="3"/>
        <v>0.30424165095392408</v>
      </c>
      <c r="Q6" s="59">
        <f>-M6*'Property Overview'!H49</f>
        <v>-45894.534</v>
      </c>
      <c r="R6" s="41">
        <f t="shared" si="4"/>
        <v>245075.87099692569</v>
      </c>
      <c r="S6" s="83">
        <f t="shared" si="10"/>
        <v>0.29508593862515736</v>
      </c>
      <c r="T6" s="83">
        <f t="shared" si="5"/>
        <v>0.20154537706989636</v>
      </c>
      <c r="U6" s="59">
        <f t="shared" ref="U6:U33" si="13">U5</f>
        <v>-146000</v>
      </c>
      <c r="V6" s="59">
        <f t="shared" si="6"/>
        <v>131826.22984089248</v>
      </c>
      <c r="W6" s="13">
        <f>(Calculations!V6/(-Calculations!U6)+1)^(1/Calculations!A6)-1</f>
        <v>0.23919636240259257</v>
      </c>
      <c r="X6" s="42"/>
      <c r="Y6" s="84">
        <f t="shared" si="7"/>
        <v>256843.57527824797</v>
      </c>
      <c r="Z6" s="84"/>
      <c r="AA6" s="24"/>
      <c r="AB6" s="24"/>
      <c r="AC6" s="24">
        <f>Y6</f>
        <v>256843.57527824797</v>
      </c>
      <c r="AD6" s="24">
        <f>B6</f>
        <v>11767.704281322269</v>
      </c>
      <c r="AE6" s="24">
        <f>AD6</f>
        <v>11767.704281322269</v>
      </c>
      <c r="AF6" s="24">
        <f t="shared" ref="AF6:BD6" si="14">AE6</f>
        <v>11767.704281322269</v>
      </c>
      <c r="AG6" s="24">
        <f t="shared" si="14"/>
        <v>11767.704281322269</v>
      </c>
      <c r="AH6" s="24">
        <f t="shared" si="14"/>
        <v>11767.704281322269</v>
      </c>
      <c r="AI6" s="24">
        <f t="shared" si="14"/>
        <v>11767.704281322269</v>
      </c>
      <c r="AJ6" s="24">
        <f t="shared" si="14"/>
        <v>11767.704281322269</v>
      </c>
      <c r="AK6" s="24">
        <f t="shared" si="14"/>
        <v>11767.704281322269</v>
      </c>
      <c r="AL6" s="24">
        <f t="shared" si="14"/>
        <v>11767.704281322269</v>
      </c>
      <c r="AM6" s="24">
        <f t="shared" si="14"/>
        <v>11767.704281322269</v>
      </c>
      <c r="AN6" s="24">
        <f t="shared" si="14"/>
        <v>11767.704281322269</v>
      </c>
      <c r="AO6" s="24">
        <f t="shared" si="14"/>
        <v>11767.704281322269</v>
      </c>
      <c r="AP6" s="24">
        <f t="shared" si="14"/>
        <v>11767.704281322269</v>
      </c>
      <c r="AQ6" s="24">
        <f t="shared" si="14"/>
        <v>11767.704281322269</v>
      </c>
      <c r="AR6" s="24">
        <f t="shared" si="14"/>
        <v>11767.704281322269</v>
      </c>
      <c r="AS6" s="24">
        <f t="shared" si="14"/>
        <v>11767.704281322269</v>
      </c>
      <c r="AT6" s="24">
        <f t="shared" si="14"/>
        <v>11767.704281322269</v>
      </c>
      <c r="AU6" s="24">
        <f t="shared" si="14"/>
        <v>11767.704281322269</v>
      </c>
      <c r="AV6" s="24">
        <f t="shared" si="14"/>
        <v>11767.704281322269</v>
      </c>
      <c r="AW6" s="24">
        <f t="shared" si="14"/>
        <v>11767.704281322269</v>
      </c>
      <c r="AX6" s="24">
        <f t="shared" si="14"/>
        <v>11767.704281322269</v>
      </c>
      <c r="AY6" s="24">
        <f t="shared" si="14"/>
        <v>11767.704281322269</v>
      </c>
      <c r="AZ6" s="24">
        <f t="shared" si="14"/>
        <v>11767.704281322269</v>
      </c>
      <c r="BA6" s="24">
        <f t="shared" si="14"/>
        <v>11767.704281322269</v>
      </c>
      <c r="BB6" s="24">
        <f t="shared" si="14"/>
        <v>11767.704281322269</v>
      </c>
      <c r="BC6" s="24">
        <f t="shared" si="14"/>
        <v>11767.704281322269</v>
      </c>
      <c r="BD6" s="24">
        <f t="shared" si="14"/>
        <v>11767.704281322269</v>
      </c>
      <c r="BE6" s="3"/>
      <c r="BF6" s="3"/>
    </row>
    <row r="7" spans="1:58" x14ac:dyDescent="0.2">
      <c r="A7" s="82">
        <v>4</v>
      </c>
      <c r="B7" s="41">
        <f>F7+H7+'Property Overview'!L52*((1+'Property Overview'!H47)^(Calculations!A7-1))</f>
        <v>12642.622271322267</v>
      </c>
      <c r="C7" s="41">
        <f t="shared" si="12"/>
        <v>32750.358843966806</v>
      </c>
      <c r="D7" s="41">
        <f t="shared" ref="D7:D33" si="15">B7+C7</f>
        <v>45392.981115289076</v>
      </c>
      <c r="E7" s="59">
        <f>'Financial Analysis'!B7*((1+'Property Overview'!H47)^(A7-1))+('Financial Analysis'!B16-'Financial Analysis'!B14)*((1+'Property Overview'!H48)^(A7-1))+('Financial Analysis'!B14)*(('Property Overview'!H47+1)^(A7-1))</f>
        <v>41074.294589999998</v>
      </c>
      <c r="F7" s="59">
        <f>E7+'Financial Analysis'!E8+'Financial Analysis'!E17</f>
        <v>41074.294589999998</v>
      </c>
      <c r="G7" s="59">
        <f>G6*('Property Overview'!H47+1)</f>
        <v>-1273.4496000000001</v>
      </c>
      <c r="H7" s="41">
        <f>IF(A7&gt;='Property Overview'!C48+1,0,'Property Overview'!L51)</f>
        <v>-27158.222718677731</v>
      </c>
      <c r="I7" s="59">
        <f t="shared" si="1"/>
        <v>12642.622271322267</v>
      </c>
      <c r="J7" s="12">
        <f t="shared" si="2"/>
        <v>8.6593303228234705E-2</v>
      </c>
      <c r="K7" s="59">
        <f>IF('Property Overview'!H53="Yes",F7/'Property Overview'!H45,(1+'Property Overview'!H46)*M6)</f>
        <v>787856.16700000002</v>
      </c>
      <c r="L7" s="59">
        <f>'Financial Analysis'!E28</f>
        <v>0</v>
      </c>
      <c r="M7" s="59">
        <f t="shared" si="9"/>
        <v>787856.16700000002</v>
      </c>
      <c r="N7" s="59">
        <f>IF('Property Overview'!C45="No",IF(A7&gt;='Property Overview'!C48,0,('Property Overview'!C46-'Property Overview'!C51)*(1+'Property Overview'!C49/12)^(A7*12)+'Property Overview'!L51/12*(((1+('Property Overview'!C49/12))^(A7*12)-1)/('Property Overview'!C49/12)))*(-1),0)</f>
        <v>-463196.89373895002</v>
      </c>
      <c r="O7" s="59">
        <f t="shared" ref="O7:O33" si="16">M7+N7</f>
        <v>324659.27326105</v>
      </c>
      <c r="P7" s="35">
        <f t="shared" si="3"/>
        <v>0.31733897627018209</v>
      </c>
      <c r="Q7" s="59">
        <f>-M7*'Property Overview'!H49</f>
        <v>-47271.370020000002</v>
      </c>
      <c r="R7" s="41">
        <f t="shared" si="4"/>
        <v>277387.90324104996</v>
      </c>
      <c r="S7" s="83">
        <f t="shared" si="10"/>
        <v>0.30790859257155168</v>
      </c>
      <c r="T7" s="83">
        <f t="shared" si="5"/>
        <v>0.18343158113680832</v>
      </c>
      <c r="U7" s="59">
        <f t="shared" si="13"/>
        <v>-146000</v>
      </c>
      <c r="V7" s="59">
        <f t="shared" si="6"/>
        <v>176780.88435633905</v>
      </c>
      <c r="W7" s="13">
        <f>(Calculations!V7/(-Calculations!U7)+1)^(1/Calculations!A7)-1</f>
        <v>0.21937907428196013</v>
      </c>
      <c r="X7" s="42"/>
      <c r="Y7" s="84">
        <f t="shared" si="7"/>
        <v>290030.52551237226</v>
      </c>
      <c r="Z7" s="84"/>
      <c r="AA7" s="24"/>
      <c r="AB7" s="24"/>
      <c r="AC7" s="24"/>
      <c r="AD7" s="24">
        <f>Y7</f>
        <v>290030.52551237226</v>
      </c>
      <c r="AE7" s="24">
        <f>B7</f>
        <v>12642.622271322267</v>
      </c>
      <c r="AF7" s="24">
        <f>AE7</f>
        <v>12642.622271322267</v>
      </c>
      <c r="AG7" s="24">
        <f t="shared" ref="AG7:BD7" si="17">AF7</f>
        <v>12642.622271322267</v>
      </c>
      <c r="AH7" s="24">
        <f t="shared" si="17"/>
        <v>12642.622271322267</v>
      </c>
      <c r="AI7" s="24">
        <f t="shared" si="17"/>
        <v>12642.622271322267</v>
      </c>
      <c r="AJ7" s="24">
        <f t="shared" si="17"/>
        <v>12642.622271322267</v>
      </c>
      <c r="AK7" s="24">
        <f t="shared" si="17"/>
        <v>12642.622271322267</v>
      </c>
      <c r="AL7" s="24">
        <f t="shared" si="17"/>
        <v>12642.622271322267</v>
      </c>
      <c r="AM7" s="24">
        <f t="shared" si="17"/>
        <v>12642.622271322267</v>
      </c>
      <c r="AN7" s="24">
        <f t="shared" si="17"/>
        <v>12642.622271322267</v>
      </c>
      <c r="AO7" s="24">
        <f t="shared" si="17"/>
        <v>12642.622271322267</v>
      </c>
      <c r="AP7" s="24">
        <f t="shared" si="17"/>
        <v>12642.622271322267</v>
      </c>
      <c r="AQ7" s="24">
        <f t="shared" si="17"/>
        <v>12642.622271322267</v>
      </c>
      <c r="AR7" s="24">
        <f t="shared" si="17"/>
        <v>12642.622271322267</v>
      </c>
      <c r="AS7" s="24">
        <f t="shared" si="17"/>
        <v>12642.622271322267</v>
      </c>
      <c r="AT7" s="24">
        <f t="shared" si="17"/>
        <v>12642.622271322267</v>
      </c>
      <c r="AU7" s="24">
        <f t="shared" si="17"/>
        <v>12642.622271322267</v>
      </c>
      <c r="AV7" s="24">
        <f t="shared" si="17"/>
        <v>12642.622271322267</v>
      </c>
      <c r="AW7" s="24">
        <f t="shared" si="17"/>
        <v>12642.622271322267</v>
      </c>
      <c r="AX7" s="24">
        <f t="shared" si="17"/>
        <v>12642.622271322267</v>
      </c>
      <c r="AY7" s="24">
        <f t="shared" si="17"/>
        <v>12642.622271322267</v>
      </c>
      <c r="AZ7" s="24">
        <f t="shared" si="17"/>
        <v>12642.622271322267</v>
      </c>
      <c r="BA7" s="24">
        <f t="shared" si="17"/>
        <v>12642.622271322267</v>
      </c>
      <c r="BB7" s="24">
        <f t="shared" si="17"/>
        <v>12642.622271322267</v>
      </c>
      <c r="BC7" s="24">
        <f t="shared" si="17"/>
        <v>12642.622271322267</v>
      </c>
      <c r="BD7" s="24">
        <f t="shared" si="17"/>
        <v>12642.622271322267</v>
      </c>
      <c r="BE7" s="3"/>
      <c r="BF7" s="3"/>
    </row>
    <row r="8" spans="1:58" x14ac:dyDescent="0.2">
      <c r="A8" s="82">
        <v>5</v>
      </c>
      <c r="B8" s="41">
        <f>F8+H8+'Property Overview'!L52*((1+'Property Overview'!H47)^(Calculations!A8-1))</f>
        <v>13536.002615622276</v>
      </c>
      <c r="C8" s="41">
        <f t="shared" si="12"/>
        <v>45392.981115289076</v>
      </c>
      <c r="D8" s="41">
        <f t="shared" si="15"/>
        <v>58928.98373091135</v>
      </c>
      <c r="E8" s="59">
        <f>'Financial Analysis'!B7*((1+'Property Overview'!H47)^(A8-1))+('Financial Analysis'!B16-'Financial Analysis'!B14)*((1+'Property Overview'!H48)^(A8-1))+('Financial Analysis'!B14)*(('Property Overview'!H47+1)^(A8-1))</f>
        <v>41993.143926300007</v>
      </c>
      <c r="F8" s="59">
        <f>E8+'Financial Analysis'!F8+'Financial Analysis'!F17</f>
        <v>41993.143926300007</v>
      </c>
      <c r="G8" s="59">
        <f>G7*('Property Overview'!H47+1)</f>
        <v>-1298.9185920000002</v>
      </c>
      <c r="H8" s="41">
        <f>IF(A8&gt;='Property Overview'!C48+1,0,'Property Overview'!L51)</f>
        <v>-27158.222718677731</v>
      </c>
      <c r="I8" s="59">
        <f t="shared" si="1"/>
        <v>13536.002615622274</v>
      </c>
      <c r="J8" s="12">
        <f t="shared" si="2"/>
        <v>9.2712346682344335E-2</v>
      </c>
      <c r="K8" s="59">
        <f>IF('Property Overview'!H53="Yes",F8/'Property Overview'!H45,(1+'Property Overview'!H46)*M7)</f>
        <v>811491.85201000003</v>
      </c>
      <c r="L8" s="59">
        <f>'Financial Analysis'!F28</f>
        <v>0</v>
      </c>
      <c r="M8" s="59">
        <f t="shared" si="9"/>
        <v>811491.85201000003</v>
      </c>
      <c r="N8" s="59">
        <f>IF('Property Overview'!C45="No",IF(A8&gt;='Property Overview'!C48,0,('Property Overview'!C46-'Property Overview'!C51)*(1+'Property Overview'!C49/12)^(A8*12)+'Property Overview'!L51/12*(((1+('Property Overview'!C49/12))^(A8*12)-1)/('Property Overview'!C49/12)))*(-1),0)</f>
        <v>-452073.24644810008</v>
      </c>
      <c r="O8" s="59">
        <f t="shared" si="16"/>
        <v>359418.60556189995</v>
      </c>
      <c r="P8" s="35">
        <f t="shared" si="3"/>
        <v>0.33078996518131665</v>
      </c>
      <c r="Q8" s="59">
        <f>-M8*'Property Overview'!H49</f>
        <v>-48689.5111206</v>
      </c>
      <c r="R8" s="41">
        <f t="shared" si="4"/>
        <v>310729.09444129991</v>
      </c>
      <c r="S8" s="83">
        <f t="shared" si="10"/>
        <v>0.32107666997172751</v>
      </c>
      <c r="T8" s="83">
        <f t="shared" si="5"/>
        <v>0.16899509051458511</v>
      </c>
      <c r="U8" s="59">
        <f t="shared" si="13"/>
        <v>-146000</v>
      </c>
      <c r="V8" s="59">
        <f t="shared" si="6"/>
        <v>223658.07817221124</v>
      </c>
      <c r="W8" s="13">
        <f>(Calculations!V8/(-Calculations!U8)+1)^(1/Calculations!A8)-1</f>
        <v>0.20417461895515054</v>
      </c>
      <c r="X8" s="42"/>
      <c r="Y8" s="84">
        <f t="shared" si="7"/>
        <v>324265.09705692221</v>
      </c>
      <c r="Z8" s="84"/>
      <c r="AA8" s="24"/>
      <c r="AB8" s="24"/>
      <c r="AC8" s="24"/>
      <c r="AD8" s="24"/>
      <c r="AE8" s="24">
        <f>Y8</f>
        <v>324265.09705692221</v>
      </c>
      <c r="AF8" s="24">
        <f>B8</f>
        <v>13536.002615622276</v>
      </c>
      <c r="AG8" s="24">
        <f>AF8</f>
        <v>13536.002615622276</v>
      </c>
      <c r="AH8" s="24">
        <f t="shared" ref="AH8:BD8" si="18">AG8</f>
        <v>13536.002615622276</v>
      </c>
      <c r="AI8" s="24">
        <f t="shared" si="18"/>
        <v>13536.002615622276</v>
      </c>
      <c r="AJ8" s="24">
        <f t="shared" si="18"/>
        <v>13536.002615622276</v>
      </c>
      <c r="AK8" s="24">
        <f t="shared" si="18"/>
        <v>13536.002615622276</v>
      </c>
      <c r="AL8" s="24">
        <f t="shared" si="18"/>
        <v>13536.002615622276</v>
      </c>
      <c r="AM8" s="24">
        <f t="shared" si="18"/>
        <v>13536.002615622276</v>
      </c>
      <c r="AN8" s="24">
        <f t="shared" si="18"/>
        <v>13536.002615622276</v>
      </c>
      <c r="AO8" s="24">
        <f t="shared" si="18"/>
        <v>13536.002615622276</v>
      </c>
      <c r="AP8" s="24">
        <f t="shared" si="18"/>
        <v>13536.002615622276</v>
      </c>
      <c r="AQ8" s="24">
        <f t="shared" si="18"/>
        <v>13536.002615622276</v>
      </c>
      <c r="AR8" s="24">
        <f t="shared" si="18"/>
        <v>13536.002615622276</v>
      </c>
      <c r="AS8" s="24">
        <f t="shared" si="18"/>
        <v>13536.002615622276</v>
      </c>
      <c r="AT8" s="24">
        <f t="shared" si="18"/>
        <v>13536.002615622276</v>
      </c>
      <c r="AU8" s="24">
        <f t="shared" si="18"/>
        <v>13536.002615622276</v>
      </c>
      <c r="AV8" s="24">
        <f t="shared" si="18"/>
        <v>13536.002615622276</v>
      </c>
      <c r="AW8" s="24">
        <f t="shared" si="18"/>
        <v>13536.002615622276</v>
      </c>
      <c r="AX8" s="24">
        <f t="shared" si="18"/>
        <v>13536.002615622276</v>
      </c>
      <c r="AY8" s="24">
        <f t="shared" si="18"/>
        <v>13536.002615622276</v>
      </c>
      <c r="AZ8" s="24">
        <f t="shared" si="18"/>
        <v>13536.002615622276</v>
      </c>
      <c r="BA8" s="24">
        <f t="shared" si="18"/>
        <v>13536.002615622276</v>
      </c>
      <c r="BB8" s="24">
        <f t="shared" si="18"/>
        <v>13536.002615622276</v>
      </c>
      <c r="BC8" s="24">
        <f t="shared" si="18"/>
        <v>13536.002615622276</v>
      </c>
      <c r="BD8" s="24">
        <f t="shared" si="18"/>
        <v>13536.002615622276</v>
      </c>
      <c r="BE8" s="3"/>
      <c r="BF8" s="3"/>
    </row>
    <row r="9" spans="1:58" x14ac:dyDescent="0.2">
      <c r="A9" s="82">
        <v>6</v>
      </c>
      <c r="B9" s="41">
        <f>E9+H9+'Property Overview'!L52*((1+'Property Overview'!H47)^(Calculations!A9-1))</f>
        <v>14448.224201253268</v>
      </c>
      <c r="C9" s="41">
        <f t="shared" si="12"/>
        <v>58928.98373091135</v>
      </c>
      <c r="D9" s="41">
        <f t="shared" si="15"/>
        <v>73377.207932164616</v>
      </c>
      <c r="E9" s="59">
        <f>'Financial Analysis'!B7*((1+'Property Overview'!H47)^(A9-1))+('Financial Analysis'!B16-'Financial Analysis'!B14)*((1+'Property Overview'!H48)^(A9-1))+('Financial Analysis'!B14)*(('Property Overview'!H47+1)^(A9-1))</f>
        <v>42931.343883770998</v>
      </c>
      <c r="F9" s="59">
        <f>E9</f>
        <v>42931.343883770998</v>
      </c>
      <c r="G9" s="59">
        <f>G8*('Property Overview'!H47+1)</f>
        <v>-1324.8969638400004</v>
      </c>
      <c r="H9" s="41">
        <f>IF(A9&gt;='Property Overview'!C48+1,0,'Property Overview'!L51)</f>
        <v>-27158.222718677731</v>
      </c>
      <c r="I9" s="59">
        <f t="shared" si="1"/>
        <v>14448.224201253266</v>
      </c>
      <c r="J9" s="12">
        <f t="shared" si="2"/>
        <v>9.8960439734611411E-2</v>
      </c>
      <c r="K9" s="59">
        <f>IF('Property Overview'!H53="Yes",E9/'Property Overview'!H45,(1+'Property Overview'!H46)*M8)</f>
        <v>835836.60757030011</v>
      </c>
      <c r="L9" s="59"/>
      <c r="M9" s="59">
        <f t="shared" si="9"/>
        <v>835836.60757030011</v>
      </c>
      <c r="N9" s="59">
        <f>IF('Property Overview'!C45="No",IF(A9&gt;='Property Overview'!C48,0,('Property Overview'!C46-'Property Overview'!C51)*(1+'Property Overview'!C49/12)^(A9*12)+'Property Overview'!L51/12*(((1+('Property Overview'!C49/12))^(A9*12)-1)/('Property Overview'!C49/12)))*(-1),0)</f>
        <v>-440553.96491746919</v>
      </c>
      <c r="O9" s="59">
        <f t="shared" si="16"/>
        <v>395282.64265283092</v>
      </c>
      <c r="P9" s="35">
        <f t="shared" si="3"/>
        <v>0.34460452939852215</v>
      </c>
      <c r="Q9" s="59">
        <f>-M9*'Property Overview'!H49</f>
        <v>-50150.196454218007</v>
      </c>
      <c r="R9" s="41">
        <f t="shared" si="4"/>
        <v>345132.44619861292</v>
      </c>
      <c r="S9" s="83">
        <f t="shared" si="10"/>
        <v>0.3345998353326457</v>
      </c>
      <c r="T9" s="83">
        <f t="shared" si="5"/>
        <v>0.15721596989944842</v>
      </c>
      <c r="U9" s="59">
        <f t="shared" si="13"/>
        <v>-146000</v>
      </c>
      <c r="V9" s="59">
        <f t="shared" si="6"/>
        <v>272509.65413077752</v>
      </c>
      <c r="W9" s="13">
        <f>(Calculations!V9/(-Calculations!U9)+1)^(1/Calculations!A9)-1</f>
        <v>0.19186052916253971</v>
      </c>
      <c r="X9" s="42"/>
      <c r="Y9" s="84">
        <f t="shared" si="7"/>
        <v>359580.67039986618</v>
      </c>
      <c r="Z9" s="84"/>
      <c r="AA9" s="24"/>
      <c r="AB9" s="24"/>
      <c r="AC9" s="24"/>
      <c r="AD9" s="24"/>
      <c r="AE9" s="24"/>
      <c r="AF9" s="24">
        <f>Y9</f>
        <v>359580.67039986618</v>
      </c>
      <c r="AG9" s="24">
        <f>B9</f>
        <v>14448.224201253268</v>
      </c>
      <c r="AH9" s="24">
        <f>AG9</f>
        <v>14448.224201253268</v>
      </c>
      <c r="AI9" s="24">
        <f t="shared" ref="AI9:BD9" si="19">AH9</f>
        <v>14448.224201253268</v>
      </c>
      <c r="AJ9" s="24">
        <f t="shared" si="19"/>
        <v>14448.224201253268</v>
      </c>
      <c r="AK9" s="24">
        <f t="shared" si="19"/>
        <v>14448.224201253268</v>
      </c>
      <c r="AL9" s="24">
        <f t="shared" si="19"/>
        <v>14448.224201253268</v>
      </c>
      <c r="AM9" s="24">
        <f t="shared" si="19"/>
        <v>14448.224201253268</v>
      </c>
      <c r="AN9" s="24">
        <f t="shared" si="19"/>
        <v>14448.224201253268</v>
      </c>
      <c r="AO9" s="24">
        <f t="shared" si="19"/>
        <v>14448.224201253268</v>
      </c>
      <c r="AP9" s="24">
        <f t="shared" si="19"/>
        <v>14448.224201253268</v>
      </c>
      <c r="AQ9" s="24">
        <f t="shared" si="19"/>
        <v>14448.224201253268</v>
      </c>
      <c r="AR9" s="24">
        <f t="shared" si="19"/>
        <v>14448.224201253268</v>
      </c>
      <c r="AS9" s="24">
        <f t="shared" si="19"/>
        <v>14448.224201253268</v>
      </c>
      <c r="AT9" s="24">
        <f t="shared" si="19"/>
        <v>14448.224201253268</v>
      </c>
      <c r="AU9" s="24">
        <f t="shared" si="19"/>
        <v>14448.224201253268</v>
      </c>
      <c r="AV9" s="24">
        <f t="shared" si="19"/>
        <v>14448.224201253268</v>
      </c>
      <c r="AW9" s="24">
        <f t="shared" si="19"/>
        <v>14448.224201253268</v>
      </c>
      <c r="AX9" s="24">
        <f t="shared" si="19"/>
        <v>14448.224201253268</v>
      </c>
      <c r="AY9" s="24">
        <f t="shared" si="19"/>
        <v>14448.224201253268</v>
      </c>
      <c r="AZ9" s="24">
        <f t="shared" si="19"/>
        <v>14448.224201253268</v>
      </c>
      <c r="BA9" s="24">
        <f t="shared" si="19"/>
        <v>14448.224201253268</v>
      </c>
      <c r="BB9" s="24">
        <f t="shared" si="19"/>
        <v>14448.224201253268</v>
      </c>
      <c r="BC9" s="24">
        <f t="shared" si="19"/>
        <v>14448.224201253268</v>
      </c>
      <c r="BD9" s="24">
        <f t="shared" si="19"/>
        <v>14448.224201253268</v>
      </c>
      <c r="BE9" s="3"/>
      <c r="BF9" s="3"/>
    </row>
    <row r="10" spans="1:58" x14ac:dyDescent="0.2">
      <c r="A10" s="82">
        <v>7</v>
      </c>
      <c r="B10" s="41">
        <f>E10+H10+'Property Overview'!L52*((1+'Property Overview'!H47)^(Calculations!A10-1))</f>
        <v>15379.673589386346</v>
      </c>
      <c r="C10" s="41">
        <f t="shared" si="12"/>
        <v>73377.207932164616</v>
      </c>
      <c r="D10" s="41">
        <f t="shared" si="15"/>
        <v>88756.881521550968</v>
      </c>
      <c r="E10" s="59">
        <f>'Financial Analysis'!B7*((1+'Property Overview'!H47)^(A10-1))+('Financial Analysis'!B16-'Financial Analysis'!B14)*((1+'Property Overview'!H48)^(A10-1))+('Financial Analysis'!B14)*(('Property Overview'!H47+1)^(A10-1))</f>
        <v>43889.291211180876</v>
      </c>
      <c r="F10" s="59">
        <f>E10</f>
        <v>43889.291211180876</v>
      </c>
      <c r="G10" s="59">
        <f>G9*('Property Overview'!H47+1)</f>
        <v>-1351.3949031168004</v>
      </c>
      <c r="H10" s="41">
        <f>IF(A10&gt;='Property Overview'!C48+1,0,'Property Overview'!L51)</f>
        <v>-27158.222718677731</v>
      </c>
      <c r="I10" s="59">
        <f t="shared" si="1"/>
        <v>15379.673589386344</v>
      </c>
      <c r="J10" s="12">
        <f t="shared" si="2"/>
        <v>0.10534023006429002</v>
      </c>
      <c r="K10" s="59">
        <f>IF('Property Overview'!H53="Yes",E10/'Property Overview'!H45,(1+'Property Overview'!H46)*M9)</f>
        <v>860911.70579740917</v>
      </c>
      <c r="L10" s="59"/>
      <c r="M10" s="59">
        <f t="shared" si="9"/>
        <v>860911.70579740917</v>
      </c>
      <c r="N10" s="59">
        <f>IF('Property Overview'!C45="No",IF(A10&gt;='Property Overview'!C48,0,('Property Overview'!C46-'Property Overview'!C51)*(1+'Property Overview'!C49/12)^(A10*12)+'Property Overview'!L51/12*(((1+('Property Overview'!C49/12))^(A10*12)-1)/('Property Overview'!C49/12)))*(-1),0)</f>
        <v>-428624.97764266666</v>
      </c>
      <c r="O10" s="59">
        <f t="shared" si="16"/>
        <v>432286.72815474251</v>
      </c>
      <c r="P10" s="35">
        <f t="shared" si="3"/>
        <v>0.35879287048834196</v>
      </c>
      <c r="Q10" s="59">
        <f>-M10*'Property Overview'!H49</f>
        <v>-51654.702347844548</v>
      </c>
      <c r="R10" s="41">
        <f t="shared" si="4"/>
        <v>380632.0258068979</v>
      </c>
      <c r="S10" s="83">
        <f t="shared" si="10"/>
        <v>0.34848803560048858</v>
      </c>
      <c r="T10" s="83">
        <f t="shared" si="5"/>
        <v>0.14741950157995842</v>
      </c>
      <c r="U10" s="59">
        <f t="shared" si="13"/>
        <v>-146000</v>
      </c>
      <c r="V10" s="59">
        <f t="shared" si="6"/>
        <v>323388.90732844884</v>
      </c>
      <c r="W10" s="13">
        <f>(Calculations!V10/(-Calculations!U10)+1)^(1/Calculations!A10)-1</f>
        <v>0.18155592109700502</v>
      </c>
      <c r="X10" s="42"/>
      <c r="Y10" s="84">
        <f t="shared" si="7"/>
        <v>396011.69939628424</v>
      </c>
      <c r="Z10" s="84"/>
      <c r="AA10" s="24"/>
      <c r="AB10" s="24"/>
      <c r="AC10" s="24"/>
      <c r="AD10" s="24"/>
      <c r="AE10" s="24"/>
      <c r="AF10" s="24"/>
      <c r="AG10" s="24">
        <f>Y10</f>
        <v>396011.69939628424</v>
      </c>
      <c r="AH10" s="24">
        <f>B10</f>
        <v>15379.673589386346</v>
      </c>
      <c r="AI10" s="24">
        <f>AH10</f>
        <v>15379.673589386346</v>
      </c>
      <c r="AJ10" s="24">
        <f t="shared" ref="AJ10:BD10" si="20">AI10</f>
        <v>15379.673589386346</v>
      </c>
      <c r="AK10" s="24">
        <f t="shared" si="20"/>
        <v>15379.673589386346</v>
      </c>
      <c r="AL10" s="24">
        <f t="shared" si="20"/>
        <v>15379.673589386346</v>
      </c>
      <c r="AM10" s="24">
        <f t="shared" si="20"/>
        <v>15379.673589386346</v>
      </c>
      <c r="AN10" s="24">
        <f t="shared" si="20"/>
        <v>15379.673589386346</v>
      </c>
      <c r="AO10" s="24">
        <f t="shared" si="20"/>
        <v>15379.673589386346</v>
      </c>
      <c r="AP10" s="24">
        <f t="shared" si="20"/>
        <v>15379.673589386346</v>
      </c>
      <c r="AQ10" s="24">
        <f t="shared" si="20"/>
        <v>15379.673589386346</v>
      </c>
      <c r="AR10" s="24">
        <f t="shared" si="20"/>
        <v>15379.673589386346</v>
      </c>
      <c r="AS10" s="24">
        <f t="shared" si="20"/>
        <v>15379.673589386346</v>
      </c>
      <c r="AT10" s="24">
        <f t="shared" si="20"/>
        <v>15379.673589386346</v>
      </c>
      <c r="AU10" s="24">
        <f t="shared" si="20"/>
        <v>15379.673589386346</v>
      </c>
      <c r="AV10" s="24">
        <f t="shared" si="20"/>
        <v>15379.673589386346</v>
      </c>
      <c r="AW10" s="24">
        <f t="shared" si="20"/>
        <v>15379.673589386346</v>
      </c>
      <c r="AX10" s="24">
        <f t="shared" si="20"/>
        <v>15379.673589386346</v>
      </c>
      <c r="AY10" s="24">
        <f t="shared" si="20"/>
        <v>15379.673589386346</v>
      </c>
      <c r="AZ10" s="24">
        <f t="shared" si="20"/>
        <v>15379.673589386346</v>
      </c>
      <c r="BA10" s="24">
        <f t="shared" si="20"/>
        <v>15379.673589386346</v>
      </c>
      <c r="BB10" s="24">
        <f t="shared" si="20"/>
        <v>15379.673589386346</v>
      </c>
      <c r="BC10" s="24">
        <f t="shared" si="20"/>
        <v>15379.673589386346</v>
      </c>
      <c r="BD10" s="24">
        <f t="shared" si="20"/>
        <v>15379.673589386346</v>
      </c>
      <c r="BE10" s="3"/>
      <c r="BF10" s="3"/>
    </row>
    <row r="11" spans="1:58" x14ac:dyDescent="0.2">
      <c r="A11" s="82">
        <v>8</v>
      </c>
      <c r="B11" s="41">
        <f>E11+H11+'Property Overview'!L52*((1+'Property Overview'!H47)^(Calculations!A11-1))</f>
        <v>16330.745169779408</v>
      </c>
      <c r="C11" s="41">
        <f t="shared" si="12"/>
        <v>88756.881521550968</v>
      </c>
      <c r="D11" s="41">
        <f t="shared" si="15"/>
        <v>105087.62669133037</v>
      </c>
      <c r="E11" s="59">
        <f>'Financial Analysis'!B7*((1+'Property Overview'!H47)^(A11-1))+('Financial Analysis'!B16-'Financial Analysis'!B14)*((1+'Property Overview'!H48)^(A11-1))+('Financial Analysis'!B14)*(('Property Overview'!H47+1)^(A11-1))</f>
        <v>44867.390689636275</v>
      </c>
      <c r="F11" s="59">
        <f>E11</f>
        <v>44867.390689636275</v>
      </c>
      <c r="G11" s="59">
        <f>G10*('Property Overview'!H47+1)</f>
        <v>-1378.4228011791365</v>
      </c>
      <c r="H11" s="41">
        <f>IF(A11&gt;='Property Overview'!C48+1,0,'Property Overview'!L51)</f>
        <v>-27158.222718677731</v>
      </c>
      <c r="I11" s="59">
        <f t="shared" si="1"/>
        <v>16330.745169779409</v>
      </c>
      <c r="J11" s="12">
        <f t="shared" si="2"/>
        <v>0.11185441897109184</v>
      </c>
      <c r="K11" s="59">
        <f>IF('Property Overview'!H53="Yes",E11/'Property Overview'!H45,(1+'Property Overview'!H46)*M10)</f>
        <v>886739.05697133148</v>
      </c>
      <c r="L11" s="59"/>
      <c r="M11" s="59">
        <f t="shared" si="9"/>
        <v>886739.05697133148</v>
      </c>
      <c r="N11" s="59">
        <f>IF('Property Overview'!C45="No",IF(A11&gt;='Property Overview'!C48,0,('Property Overview'!C46-'Property Overview'!C51)*(1+'Property Overview'!C49/12)^(A11*12)+'Property Overview'!L51/12*(((1+('Property Overview'!C49/12))^(A11*12)-1)/('Property Overview'!C49/12)))*(-1),0)</f>
        <v>-416271.71263876831</v>
      </c>
      <c r="O11" s="59">
        <f t="shared" si="16"/>
        <v>470467.34433256317</v>
      </c>
      <c r="P11" s="35">
        <f t="shared" si="3"/>
        <v>0.37336548868219227</v>
      </c>
      <c r="Q11" s="59">
        <f>-M11*'Property Overview'!H49</f>
        <v>-53204.343418279888</v>
      </c>
      <c r="R11" s="41">
        <f t="shared" si="4"/>
        <v>417263.00091428327</v>
      </c>
      <c r="S11" s="83">
        <f t="shared" si="10"/>
        <v>0.36275150874770395</v>
      </c>
      <c r="T11" s="83">
        <f t="shared" si="5"/>
        <v>0.13914152432363455</v>
      </c>
      <c r="U11" s="59">
        <f t="shared" si="13"/>
        <v>-146000</v>
      </c>
      <c r="V11" s="59">
        <f t="shared" si="6"/>
        <v>376350.62760561367</v>
      </c>
      <c r="W11" s="13">
        <f>(Calculations!V11/(-Calculations!U11)+1)^(1/Calculations!A11)-1</f>
        <v>0.17273843311634152</v>
      </c>
      <c r="X11" s="42"/>
      <c r="Y11" s="84">
        <f t="shared" si="7"/>
        <v>433593.74608406267</v>
      </c>
      <c r="Z11" s="84"/>
      <c r="AA11" s="24"/>
      <c r="AB11" s="24"/>
      <c r="AC11" s="24"/>
      <c r="AD11" s="24"/>
      <c r="AE11" s="24"/>
      <c r="AF11" s="24"/>
      <c r="AG11" s="24"/>
      <c r="AH11" s="24">
        <f>Y11</f>
        <v>433593.74608406267</v>
      </c>
      <c r="AI11" s="24">
        <f>B11</f>
        <v>16330.745169779408</v>
      </c>
      <c r="AJ11" s="24">
        <f>AI11</f>
        <v>16330.745169779408</v>
      </c>
      <c r="AK11" s="24">
        <f t="shared" ref="AK11:BD11" si="21">AJ11</f>
        <v>16330.745169779408</v>
      </c>
      <c r="AL11" s="24">
        <f t="shared" si="21"/>
        <v>16330.745169779408</v>
      </c>
      <c r="AM11" s="24">
        <f t="shared" si="21"/>
        <v>16330.745169779408</v>
      </c>
      <c r="AN11" s="24">
        <f t="shared" si="21"/>
        <v>16330.745169779408</v>
      </c>
      <c r="AO11" s="24">
        <f t="shared" si="21"/>
        <v>16330.745169779408</v>
      </c>
      <c r="AP11" s="24">
        <f t="shared" si="21"/>
        <v>16330.745169779408</v>
      </c>
      <c r="AQ11" s="24">
        <f t="shared" si="21"/>
        <v>16330.745169779408</v>
      </c>
      <c r="AR11" s="24">
        <f t="shared" si="21"/>
        <v>16330.745169779408</v>
      </c>
      <c r="AS11" s="24">
        <f t="shared" si="21"/>
        <v>16330.745169779408</v>
      </c>
      <c r="AT11" s="24">
        <f t="shared" si="21"/>
        <v>16330.745169779408</v>
      </c>
      <c r="AU11" s="24">
        <f t="shared" si="21"/>
        <v>16330.745169779408</v>
      </c>
      <c r="AV11" s="24">
        <f t="shared" si="21"/>
        <v>16330.745169779408</v>
      </c>
      <c r="AW11" s="24">
        <f t="shared" si="21"/>
        <v>16330.745169779408</v>
      </c>
      <c r="AX11" s="24">
        <f t="shared" si="21"/>
        <v>16330.745169779408</v>
      </c>
      <c r="AY11" s="24">
        <f t="shared" si="21"/>
        <v>16330.745169779408</v>
      </c>
      <c r="AZ11" s="24">
        <f t="shared" si="21"/>
        <v>16330.745169779408</v>
      </c>
      <c r="BA11" s="24">
        <f t="shared" si="21"/>
        <v>16330.745169779408</v>
      </c>
      <c r="BB11" s="24">
        <f t="shared" si="21"/>
        <v>16330.745169779408</v>
      </c>
      <c r="BC11" s="24">
        <f t="shared" si="21"/>
        <v>16330.745169779408</v>
      </c>
      <c r="BD11" s="24">
        <f t="shared" si="21"/>
        <v>16330.745169779408</v>
      </c>
      <c r="BE11" s="3"/>
      <c r="BF11" s="3"/>
    </row>
    <row r="12" spans="1:58" x14ac:dyDescent="0.2">
      <c r="A12" s="82">
        <v>9</v>
      </c>
      <c r="B12" s="41">
        <f>E12+H12+'Property Overview'!L52*((1+'Property Overview'!H47)^(Calculations!A12-1))</f>
        <v>17301.841318322666</v>
      </c>
      <c r="C12" s="41">
        <f t="shared" si="12"/>
        <v>105087.62669133037</v>
      </c>
      <c r="D12" s="41">
        <f t="shared" si="15"/>
        <v>122389.46800965304</v>
      </c>
      <c r="E12" s="59">
        <f>'Financial Analysis'!B7*((1+'Property Overview'!H47)^(A12-1))+('Financial Analysis'!B16-'Financial Analysis'!B14)*((1+'Property Overview'!H48)^(A12-1))+('Financial Analysis'!B14)*(('Property Overview'!H47+1)^(A12-1))</f>
        <v>45866.055294203114</v>
      </c>
      <c r="F12" s="59">
        <f>E12</f>
        <v>45866.055294203114</v>
      </c>
      <c r="G12" s="59">
        <f>G11*('Property Overview'!H47+1)</f>
        <v>-1405.9912572027192</v>
      </c>
      <c r="H12" s="41">
        <f>IF(A12&gt;='Property Overview'!C48+1,0,'Property Overview'!L51)</f>
        <v>-27158.222718677731</v>
      </c>
      <c r="I12" s="59">
        <f t="shared" si="1"/>
        <v>17301.841318322666</v>
      </c>
      <c r="J12" s="12">
        <f t="shared" si="2"/>
        <v>0.11850576245426483</v>
      </c>
      <c r="K12" s="59">
        <f>IF('Property Overview'!H53="Yes",E12/'Property Overview'!H45,(1+'Property Overview'!H46)*M11)</f>
        <v>913341.22868047142</v>
      </c>
      <c r="L12" s="59"/>
      <c r="M12" s="59">
        <f t="shared" si="9"/>
        <v>913341.22868047142</v>
      </c>
      <c r="N12" s="59">
        <f>IF('Property Overview'!C45="No",IF(A12&gt;='Property Overview'!C48,0,('Property Overview'!C46-'Property Overview'!C51)*(1+'Property Overview'!C49/12)^(A12*12)+'Property Overview'!L51/12*(((1+('Property Overview'!C49/12))^(A12*12)-1)/('Property Overview'!C49/12)))*(-1),0)</f>
        <v>-403479.07963974716</v>
      </c>
      <c r="O12" s="59">
        <f t="shared" si="16"/>
        <v>509862.14904072427</v>
      </c>
      <c r="P12" s="35">
        <f t="shared" si="3"/>
        <v>0.38833319196221755</v>
      </c>
      <c r="Q12" s="59">
        <f>-M12*'Property Overview'!H49</f>
        <v>-54800.473720828282</v>
      </c>
      <c r="R12" s="41">
        <f t="shared" si="4"/>
        <v>455061.67531989596</v>
      </c>
      <c r="S12" s="83">
        <f t="shared" si="10"/>
        <v>0.37740079262969423</v>
      </c>
      <c r="T12" s="83">
        <f t="shared" si="5"/>
        <v>0.13205224427567794</v>
      </c>
      <c r="U12" s="59">
        <f t="shared" si="13"/>
        <v>-146000</v>
      </c>
      <c r="V12" s="59">
        <f t="shared" si="6"/>
        <v>431451.143329549</v>
      </c>
      <c r="W12" s="13">
        <f>(Calculations!V12/(-Calculations!U12)+1)^(1/Calculations!A12)-1</f>
        <v>0.16506827535698698</v>
      </c>
      <c r="X12" s="42"/>
      <c r="Y12" s="84">
        <f t="shared" si="7"/>
        <v>472363.51663821866</v>
      </c>
      <c r="Z12" s="84"/>
      <c r="AA12" s="24"/>
      <c r="AB12" s="24"/>
      <c r="AC12" s="24"/>
      <c r="AD12" s="24"/>
      <c r="AE12" s="24"/>
      <c r="AF12" s="24"/>
      <c r="AG12" s="24"/>
      <c r="AH12" s="24"/>
      <c r="AI12" s="24">
        <f>Y12</f>
        <v>472363.51663821866</v>
      </c>
      <c r="AJ12" s="24">
        <f>B12</f>
        <v>17301.841318322666</v>
      </c>
      <c r="AK12" s="24">
        <f>AJ12</f>
        <v>17301.841318322666</v>
      </c>
      <c r="AL12" s="24">
        <f t="shared" ref="AL12:BD12" si="22">AK12</f>
        <v>17301.841318322666</v>
      </c>
      <c r="AM12" s="24">
        <f t="shared" si="22"/>
        <v>17301.841318322666</v>
      </c>
      <c r="AN12" s="24">
        <f t="shared" si="22"/>
        <v>17301.841318322666</v>
      </c>
      <c r="AO12" s="24">
        <f t="shared" si="22"/>
        <v>17301.841318322666</v>
      </c>
      <c r="AP12" s="24">
        <f t="shared" si="22"/>
        <v>17301.841318322666</v>
      </c>
      <c r="AQ12" s="24">
        <f t="shared" si="22"/>
        <v>17301.841318322666</v>
      </c>
      <c r="AR12" s="24">
        <f t="shared" si="22"/>
        <v>17301.841318322666</v>
      </c>
      <c r="AS12" s="24">
        <f t="shared" si="22"/>
        <v>17301.841318322666</v>
      </c>
      <c r="AT12" s="24">
        <f t="shared" si="22"/>
        <v>17301.841318322666</v>
      </c>
      <c r="AU12" s="24">
        <f t="shared" si="22"/>
        <v>17301.841318322666</v>
      </c>
      <c r="AV12" s="24">
        <f t="shared" si="22"/>
        <v>17301.841318322666</v>
      </c>
      <c r="AW12" s="24">
        <f t="shared" si="22"/>
        <v>17301.841318322666</v>
      </c>
      <c r="AX12" s="24">
        <f t="shared" si="22"/>
        <v>17301.841318322666</v>
      </c>
      <c r="AY12" s="24">
        <f t="shared" si="22"/>
        <v>17301.841318322666</v>
      </c>
      <c r="AZ12" s="24">
        <f t="shared" si="22"/>
        <v>17301.841318322666</v>
      </c>
      <c r="BA12" s="24">
        <f t="shared" si="22"/>
        <v>17301.841318322666</v>
      </c>
      <c r="BB12" s="24">
        <f t="shared" si="22"/>
        <v>17301.841318322666</v>
      </c>
      <c r="BC12" s="24">
        <f t="shared" si="22"/>
        <v>17301.841318322666</v>
      </c>
      <c r="BD12" s="24">
        <f t="shared" si="22"/>
        <v>17301.841318322666</v>
      </c>
      <c r="BE12" s="3"/>
      <c r="BF12" s="3"/>
    </row>
    <row r="13" spans="1:58" x14ac:dyDescent="0.2">
      <c r="A13" s="82">
        <v>10</v>
      </c>
      <c r="B13" s="41">
        <f>F13+H13+'Property Overview'!L52*((1+'Property Overview'!H47)^(Calculations!A13-1))</f>
        <v>18293.372557744526</v>
      </c>
      <c r="C13" s="41">
        <f t="shared" si="12"/>
        <v>122389.46800965304</v>
      </c>
      <c r="D13" s="41">
        <f t="shared" si="15"/>
        <v>140682.84056739756</v>
      </c>
      <c r="E13" s="59">
        <f>'Financial Analysis'!B7*((1+'Property Overview'!H47)^(A13-1))+('Financial Analysis'!B16-'Financial Analysis'!B14)*((1+'Property Overview'!H48)^(A13-1))+('Financial Analysis'!B14)*(('Property Overview'!H47+1)^(A13-1))</f>
        <v>46885.706358769028</v>
      </c>
      <c r="F13" s="59">
        <f>E13+'Financial Analysis'!G8+'Financial Analysis'!G17</f>
        <v>46885.706358769028</v>
      </c>
      <c r="G13" s="59">
        <f>G12*('Property Overview'!H47+1)</f>
        <v>-1434.1110823467736</v>
      </c>
      <c r="H13" s="41">
        <f>IF(A13&gt;='Property Overview'!C48+1,0,'Property Overview'!L51)</f>
        <v>-27158.222718677731</v>
      </c>
      <c r="I13" s="59">
        <f t="shared" si="1"/>
        <v>18293.372557744522</v>
      </c>
      <c r="J13" s="12">
        <f t="shared" si="2"/>
        <v>0.12529707231331863</v>
      </c>
      <c r="K13" s="59">
        <f>IF('Property Overview'!H53="Yes",F13/'Property Overview'!H45,(1+'Property Overview'!H46)*M12)</f>
        <v>940741.46554088558</v>
      </c>
      <c r="L13" s="59">
        <f>'Financial Analysis'!G28</f>
        <v>0</v>
      </c>
      <c r="M13" s="59">
        <f t="shared" si="9"/>
        <v>940741.46554088558</v>
      </c>
      <c r="N13" s="59">
        <f>IF('Property Overview'!C45="No",IF(A13&gt;='Property Overview'!C48,0,('Property Overview'!C46-'Property Overview'!C51)*(1+'Property Overview'!C49/12)^(A13*12)+'Property Overview'!L51/12*(((1+('Property Overview'!C49/12))^(A13*12)-1)/('Property Overview'!C49/12)))*(-1),0)</f>
        <v>-390231.45166479488</v>
      </c>
      <c r="O13" s="59">
        <f t="shared" si="16"/>
        <v>550510.01387609076</v>
      </c>
      <c r="P13" s="35">
        <f t="shared" si="3"/>
        <v>0.40370710543226723</v>
      </c>
      <c r="Q13" s="59">
        <f>-M13*'Property Overview'!H49</f>
        <v>-56444.487932453136</v>
      </c>
      <c r="R13" s="41">
        <f t="shared" si="4"/>
        <v>494065.52594363753</v>
      </c>
      <c r="S13" s="83">
        <f t="shared" si="10"/>
        <v>0.39244673411976777</v>
      </c>
      <c r="T13" s="83">
        <f t="shared" si="5"/>
        <v>0.12591089579496606</v>
      </c>
      <c r="U13" s="59">
        <f t="shared" si="13"/>
        <v>-146000</v>
      </c>
      <c r="V13" s="59">
        <f t="shared" si="6"/>
        <v>488748.36651103513</v>
      </c>
      <c r="W13" s="13">
        <f>(Calculations!V13/(-Calculations!U13)+1)^(1/Calculations!A13)-1</f>
        <v>0.15831018102391869</v>
      </c>
      <c r="X13" s="42"/>
      <c r="Y13" s="84">
        <f t="shared" si="7"/>
        <v>512358.89850138203</v>
      </c>
      <c r="Z13" s="84"/>
      <c r="AA13" s="24"/>
      <c r="AB13" s="24"/>
      <c r="AC13" s="24"/>
      <c r="AD13" s="24"/>
      <c r="AE13" s="24"/>
      <c r="AF13" s="24"/>
      <c r="AG13" s="24"/>
      <c r="AH13" s="24"/>
      <c r="AI13" s="24"/>
      <c r="AJ13" s="24">
        <f>Y13</f>
        <v>512358.89850138203</v>
      </c>
      <c r="AK13" s="24">
        <f>B13</f>
        <v>18293.372557744526</v>
      </c>
      <c r="AL13" s="24">
        <f>AK13</f>
        <v>18293.372557744526</v>
      </c>
      <c r="AM13" s="24">
        <f t="shared" ref="AM13:BD13" si="23">AL13</f>
        <v>18293.372557744526</v>
      </c>
      <c r="AN13" s="24">
        <f t="shared" si="23"/>
        <v>18293.372557744526</v>
      </c>
      <c r="AO13" s="24">
        <f t="shared" si="23"/>
        <v>18293.372557744526</v>
      </c>
      <c r="AP13" s="24">
        <f t="shared" si="23"/>
        <v>18293.372557744526</v>
      </c>
      <c r="AQ13" s="24">
        <f t="shared" si="23"/>
        <v>18293.372557744526</v>
      </c>
      <c r="AR13" s="24">
        <f t="shared" si="23"/>
        <v>18293.372557744526</v>
      </c>
      <c r="AS13" s="24">
        <f t="shared" si="23"/>
        <v>18293.372557744526</v>
      </c>
      <c r="AT13" s="24">
        <f t="shared" si="23"/>
        <v>18293.372557744526</v>
      </c>
      <c r="AU13" s="24">
        <f t="shared" si="23"/>
        <v>18293.372557744526</v>
      </c>
      <c r="AV13" s="24">
        <f t="shared" si="23"/>
        <v>18293.372557744526</v>
      </c>
      <c r="AW13" s="24">
        <f t="shared" si="23"/>
        <v>18293.372557744526</v>
      </c>
      <c r="AX13" s="24">
        <f t="shared" si="23"/>
        <v>18293.372557744526</v>
      </c>
      <c r="AY13" s="24">
        <f t="shared" si="23"/>
        <v>18293.372557744526</v>
      </c>
      <c r="AZ13" s="24">
        <f t="shared" si="23"/>
        <v>18293.372557744526</v>
      </c>
      <c r="BA13" s="24">
        <f t="shared" si="23"/>
        <v>18293.372557744526</v>
      </c>
      <c r="BB13" s="24">
        <f t="shared" si="23"/>
        <v>18293.372557744526</v>
      </c>
      <c r="BC13" s="24">
        <f t="shared" si="23"/>
        <v>18293.372557744526</v>
      </c>
      <c r="BD13" s="24">
        <f t="shared" si="23"/>
        <v>18293.372557744526</v>
      </c>
      <c r="BE13" s="3"/>
      <c r="BF13" s="3"/>
    </row>
    <row r="14" spans="1:58" x14ac:dyDescent="0.2">
      <c r="A14" s="82">
        <f>A13+1</f>
        <v>11</v>
      </c>
      <c r="B14" s="41">
        <f>E14+H14+'Property Overview'!L52*((1+'Property Overview'!H47)^(Calculations!A14-1))</f>
        <v>19305.75772154165</v>
      </c>
      <c r="C14" s="41">
        <f t="shared" si="12"/>
        <v>140682.84056739756</v>
      </c>
      <c r="D14" s="41">
        <f t="shared" si="15"/>
        <v>159988.59828893922</v>
      </c>
      <c r="E14" s="59">
        <f>'Financial Analysis'!B7*((1+'Property Overview'!H47)^(A14-1))+('Financial Analysis'!B16-'Financial Analysis'!B14)*((1+'Property Overview'!H48)^(A14-1))+('Financial Analysis'!B14)*(('Property Overview'!H47+1)^(A14-1))</f>
        <v>47926.773744213089</v>
      </c>
      <c r="F14" s="59">
        <f>E14</f>
        <v>47926.773744213089</v>
      </c>
      <c r="G14" s="59">
        <f>G13*('Property Overview'!H47+1)</f>
        <v>-1462.7933039937091</v>
      </c>
      <c r="H14" s="41">
        <f>IF(A14&gt;='Property Overview'!C48+1,0,'Property Overview'!L51)</f>
        <v>-27158.222718677731</v>
      </c>
      <c r="I14" s="59">
        <f t="shared" si="1"/>
        <v>19305.757721541646</v>
      </c>
      <c r="J14" s="12">
        <f t="shared" si="2"/>
        <v>0.1322312172708332</v>
      </c>
      <c r="K14" s="59">
        <f>IF('Property Overview'!H53="Yes",E14/'Property Overview'!H45,(1+'Property Overview'!H46)*M13)</f>
        <v>968963.70950711216</v>
      </c>
      <c r="L14" s="59"/>
      <c r="M14" s="59">
        <f t="shared" si="9"/>
        <v>968963.70950711216</v>
      </c>
      <c r="N14" s="59">
        <f>IF('Property Overview'!C45="No",IF(A14&gt;='Property Overview'!C48,0,('Property Overview'!C46-'Property Overview'!C51)*(1+'Property Overview'!C49/12)^(A14*12)+'Property Overview'!L51/12*(((1+('Property Overview'!C49/12))^(A14*12)-1)/('Property Overview'!C49/12)))*(-1),0)</f>
        <v>-376512.64592901152</v>
      </c>
      <c r="O14" s="59">
        <f t="shared" si="16"/>
        <v>592451.06357810064</v>
      </c>
      <c r="P14" s="35">
        <f t="shared" si="3"/>
        <v>0.41949868098322968</v>
      </c>
      <c r="Q14" s="59">
        <f>-M14*'Property Overview'!H49</f>
        <v>-58137.822570426724</v>
      </c>
      <c r="R14" s="41">
        <f t="shared" si="4"/>
        <v>534313.2410076739</v>
      </c>
      <c r="S14" s="83">
        <f t="shared" si="10"/>
        <v>0.40790049853135629</v>
      </c>
      <c r="T14" s="83">
        <f t="shared" si="5"/>
        <v>0.12053760009228374</v>
      </c>
      <c r="U14" s="59">
        <f t="shared" si="13"/>
        <v>-146000</v>
      </c>
      <c r="V14" s="59">
        <f t="shared" si="6"/>
        <v>548301.83929661312</v>
      </c>
      <c r="W14" s="13">
        <f>(Calculations!V14/(-Calculations!U14)+1)^(1/Calculations!A14)-1</f>
        <v>0.15229379600934245</v>
      </c>
      <c r="X14" s="42"/>
      <c r="Y14" s="84">
        <f t="shared" si="7"/>
        <v>553618.99872921559</v>
      </c>
      <c r="Z14" s="84"/>
      <c r="AA14" s="24"/>
      <c r="AB14" s="24"/>
      <c r="AC14" s="24"/>
      <c r="AD14" s="24"/>
      <c r="AE14" s="24"/>
      <c r="AF14" s="24"/>
      <c r="AG14" s="24"/>
      <c r="AH14" s="24"/>
      <c r="AI14" s="24"/>
      <c r="AJ14" s="24"/>
      <c r="AK14" s="24">
        <f>Y14</f>
        <v>553618.99872921559</v>
      </c>
      <c r="AL14" s="24">
        <f>B14</f>
        <v>19305.75772154165</v>
      </c>
      <c r="AM14" s="24">
        <f>AL14</f>
        <v>19305.75772154165</v>
      </c>
      <c r="AN14" s="24">
        <f t="shared" ref="AN14:BD14" si="24">AM14</f>
        <v>19305.75772154165</v>
      </c>
      <c r="AO14" s="24">
        <f t="shared" si="24"/>
        <v>19305.75772154165</v>
      </c>
      <c r="AP14" s="24">
        <f t="shared" si="24"/>
        <v>19305.75772154165</v>
      </c>
      <c r="AQ14" s="24">
        <f t="shared" si="24"/>
        <v>19305.75772154165</v>
      </c>
      <c r="AR14" s="24">
        <f t="shared" si="24"/>
        <v>19305.75772154165</v>
      </c>
      <c r="AS14" s="24">
        <f t="shared" si="24"/>
        <v>19305.75772154165</v>
      </c>
      <c r="AT14" s="24">
        <f t="shared" si="24"/>
        <v>19305.75772154165</v>
      </c>
      <c r="AU14" s="24">
        <f t="shared" si="24"/>
        <v>19305.75772154165</v>
      </c>
      <c r="AV14" s="24">
        <f t="shared" si="24"/>
        <v>19305.75772154165</v>
      </c>
      <c r="AW14" s="24">
        <f t="shared" si="24"/>
        <v>19305.75772154165</v>
      </c>
      <c r="AX14" s="24">
        <f t="shared" si="24"/>
        <v>19305.75772154165</v>
      </c>
      <c r="AY14" s="24">
        <f t="shared" si="24"/>
        <v>19305.75772154165</v>
      </c>
      <c r="AZ14" s="24">
        <f t="shared" si="24"/>
        <v>19305.75772154165</v>
      </c>
      <c r="BA14" s="24">
        <f t="shared" si="24"/>
        <v>19305.75772154165</v>
      </c>
      <c r="BB14" s="24">
        <f t="shared" si="24"/>
        <v>19305.75772154165</v>
      </c>
      <c r="BC14" s="24">
        <f t="shared" si="24"/>
        <v>19305.75772154165</v>
      </c>
      <c r="BD14" s="24">
        <f t="shared" si="24"/>
        <v>19305.75772154165</v>
      </c>
      <c r="BE14" s="3"/>
      <c r="BF14" s="3"/>
    </row>
    <row r="15" spans="1:58" x14ac:dyDescent="0.2">
      <c r="A15" s="82">
        <f>A14+1</f>
        <v>12</v>
      </c>
      <c r="B15" s="41">
        <f>E15+H15+'Property Overview'!L52*((1+'Property Overview'!H47)^(Calculations!A15-1))</f>
        <v>20339.424121197375</v>
      </c>
      <c r="C15" s="41">
        <f t="shared" si="12"/>
        <v>159988.59828893922</v>
      </c>
      <c r="D15" s="41">
        <f t="shared" si="15"/>
        <v>180328.02241013659</v>
      </c>
      <c r="E15" s="59">
        <f>'Financial Analysis'!B7*((1+'Property Overview'!H47)^(A15-1))+('Financial Analysis'!B16-'Financial Analysis'!B14)*((1+'Property Overview'!H48)^(A15-1))+('Financial Analysis'!B14)*(('Property Overview'!H47+1)^(A15-1))</f>
        <v>48989.69600994869</v>
      </c>
      <c r="F15" s="59">
        <f>E15</f>
        <v>48989.69600994869</v>
      </c>
      <c r="G15" s="59">
        <f>G14*('Property Overview'!H47+1)</f>
        <v>-1492.0491700735834</v>
      </c>
      <c r="H15" s="41">
        <f>IF(A15&gt;='Property Overview'!C48+1,0,'Property Overview'!L51)</f>
        <v>-27158.222718677731</v>
      </c>
      <c r="I15" s="59">
        <f t="shared" si="1"/>
        <v>20339.424121197379</v>
      </c>
      <c r="J15" s="12">
        <f t="shared" si="2"/>
        <v>0.13931112411779026</v>
      </c>
      <c r="K15" s="59">
        <f>IF('Property Overview'!H53="Yes",E15/'Property Overview'!H45,(1+'Property Overview'!H46)*M14)</f>
        <v>998032.62079232559</v>
      </c>
      <c r="L15" s="59"/>
      <c r="M15" s="59">
        <f t="shared" si="9"/>
        <v>998032.62079232559</v>
      </c>
      <c r="N15" s="59">
        <f>IF('Property Overview'!C45="No",IF(A15&gt;='Property Overview'!C48,0,('Property Overview'!C46-'Property Overview'!C51)*(1+'Property Overview'!C49/12)^(A15*12)+'Property Overview'!L51/12*(((1+('Property Overview'!C49/12))^(A15*12)-1)/('Property Overview'!C49/12)))*(-1),0)</f>
        <v>-362305.90407514869</v>
      </c>
      <c r="O15" s="59">
        <f t="shared" si="16"/>
        <v>635726.71671717684</v>
      </c>
      <c r="P15" s="35">
        <f t="shared" si="3"/>
        <v>0.43571970726214776</v>
      </c>
      <c r="Q15" s="59">
        <f>-M15*'Property Overview'!H49</f>
        <v>-59881.957247539533</v>
      </c>
      <c r="R15" s="41">
        <f t="shared" si="4"/>
        <v>575844.75946963741</v>
      </c>
      <c r="S15" s="83">
        <f t="shared" si="10"/>
        <v>0.42377357933671844</v>
      </c>
      <c r="T15" s="83">
        <f t="shared" si="5"/>
        <v>0.11579526359196531</v>
      </c>
      <c r="U15" s="59">
        <f t="shared" si="13"/>
        <v>-146000</v>
      </c>
      <c r="V15" s="59">
        <f t="shared" si="6"/>
        <v>610172.78187977406</v>
      </c>
      <c r="W15" s="13">
        <f>(Calculations!V15/(-Calculations!U15)+1)^(1/Calculations!A15)-1</f>
        <v>0.14689153888715034</v>
      </c>
      <c r="X15" s="42"/>
      <c r="Y15" s="84">
        <f t="shared" si="7"/>
        <v>596184.18359083484</v>
      </c>
      <c r="Z15" s="84"/>
      <c r="AA15" s="24"/>
      <c r="AB15" s="24"/>
      <c r="AC15" s="24"/>
      <c r="AD15" s="24"/>
      <c r="AE15" s="24"/>
      <c r="AF15" s="24"/>
      <c r="AG15" s="24"/>
      <c r="AH15" s="24"/>
      <c r="AI15" s="24"/>
      <c r="AJ15" s="24"/>
      <c r="AK15" s="24"/>
      <c r="AL15" s="24">
        <f>Y15</f>
        <v>596184.18359083484</v>
      </c>
      <c r="AM15" s="24">
        <f>B15</f>
        <v>20339.424121197375</v>
      </c>
      <c r="AN15" s="24">
        <f>AM15</f>
        <v>20339.424121197375</v>
      </c>
      <c r="AO15" s="24">
        <f t="shared" ref="AO15:BD15" si="25">AN15</f>
        <v>20339.424121197375</v>
      </c>
      <c r="AP15" s="24">
        <f t="shared" si="25"/>
        <v>20339.424121197375</v>
      </c>
      <c r="AQ15" s="24">
        <f t="shared" si="25"/>
        <v>20339.424121197375</v>
      </c>
      <c r="AR15" s="24">
        <f t="shared" si="25"/>
        <v>20339.424121197375</v>
      </c>
      <c r="AS15" s="24">
        <f t="shared" si="25"/>
        <v>20339.424121197375</v>
      </c>
      <c r="AT15" s="24">
        <f t="shared" si="25"/>
        <v>20339.424121197375</v>
      </c>
      <c r="AU15" s="24">
        <f t="shared" si="25"/>
        <v>20339.424121197375</v>
      </c>
      <c r="AV15" s="24">
        <f t="shared" si="25"/>
        <v>20339.424121197375</v>
      </c>
      <c r="AW15" s="24">
        <f t="shared" si="25"/>
        <v>20339.424121197375</v>
      </c>
      <c r="AX15" s="24">
        <f t="shared" si="25"/>
        <v>20339.424121197375</v>
      </c>
      <c r="AY15" s="24">
        <f t="shared" si="25"/>
        <v>20339.424121197375</v>
      </c>
      <c r="AZ15" s="24">
        <f t="shared" si="25"/>
        <v>20339.424121197375</v>
      </c>
      <c r="BA15" s="24">
        <f t="shared" si="25"/>
        <v>20339.424121197375</v>
      </c>
      <c r="BB15" s="24">
        <f t="shared" si="25"/>
        <v>20339.424121197375</v>
      </c>
      <c r="BC15" s="24">
        <f t="shared" si="25"/>
        <v>20339.424121197375</v>
      </c>
      <c r="BD15" s="24">
        <f t="shared" si="25"/>
        <v>20339.424121197375</v>
      </c>
      <c r="BE15" s="3"/>
      <c r="BF15" s="3"/>
    </row>
    <row r="16" spans="1:58" x14ac:dyDescent="0.2">
      <c r="A16" s="82">
        <f>A15+1</f>
        <v>13</v>
      </c>
      <c r="B16" s="41">
        <f>E16+H16+'Property Overview'!L52*((1+'Property Overview'!H47)^(Calculations!A16-1))</f>
        <v>21394.807716754767</v>
      </c>
      <c r="C16" s="41">
        <f t="shared" si="12"/>
        <v>180328.02241013659</v>
      </c>
      <c r="D16" s="41">
        <f t="shared" si="15"/>
        <v>201722.83012689135</v>
      </c>
      <c r="E16" s="59">
        <f>'Financial Analysis'!B7*((1+'Property Overview'!H47)^(A16-1))+('Financial Analysis'!B16-'Financial Analysis'!B14)*((1+'Property Overview'!H48)^(A16-1))+('Financial Analysis'!B14)*(('Property Overview'!H47+1)^(A16-1))</f>
        <v>50074.920588907553</v>
      </c>
      <c r="F16" s="59">
        <f>E16</f>
        <v>50074.920588907553</v>
      </c>
      <c r="G16" s="59">
        <f>G15*('Property Overview'!H47+1)</f>
        <v>-1521.8901534750551</v>
      </c>
      <c r="H16" s="41">
        <f>IF(A16&gt;='Property Overview'!C48+1,0,'Property Overview'!L51)</f>
        <v>-27158.222718677731</v>
      </c>
      <c r="I16" s="59">
        <f t="shared" si="1"/>
        <v>21394.807716754767</v>
      </c>
      <c r="J16" s="12">
        <f t="shared" si="2"/>
        <v>0.14653977888188197</v>
      </c>
      <c r="K16" s="59">
        <f>IF('Property Overview'!H53="Yes",E16/'Property Overview'!H45,(1+'Property Overview'!H46)*M15)</f>
        <v>1027973.5994160954</v>
      </c>
      <c r="L16" s="59"/>
      <c r="M16" s="59">
        <f t="shared" si="9"/>
        <v>1027973.5994160954</v>
      </c>
      <c r="N16" s="59">
        <f>IF('Property Overview'!C45="No",IF(A16&gt;='Property Overview'!C48,0,('Property Overview'!C46-'Property Overview'!C51)*(1+'Property Overview'!C49/12)^(A16*12)+'Property Overview'!L51/12*(((1+('Property Overview'!C49/12))^(A16*12)-1)/('Property Overview'!C49/12)))*(-1),0)</f>
        <v>-347593.87170225405</v>
      </c>
      <c r="O16" s="59">
        <f t="shared" si="16"/>
        <v>680379.72771384136</v>
      </c>
      <c r="P16" s="35">
        <f t="shared" si="3"/>
        <v>0.45238231995492661</v>
      </c>
      <c r="Q16" s="59">
        <f>-M16*'Property Overview'!H49</f>
        <v>-61678.415964965723</v>
      </c>
      <c r="R16" s="41">
        <f t="shared" si="4"/>
        <v>618701.31174887565</v>
      </c>
      <c r="S16" s="83">
        <f t="shared" si="10"/>
        <v>0.44007780819173292</v>
      </c>
      <c r="T16" s="83">
        <f t="shared" si="5"/>
        <v>0.11157757180106941</v>
      </c>
      <c r="U16" s="59">
        <f t="shared" si="13"/>
        <v>-146000</v>
      </c>
      <c r="V16" s="59">
        <f t="shared" si="6"/>
        <v>674424.14187576703</v>
      </c>
      <c r="W16" s="13">
        <f>(Calculations!V16/(-Calculations!U16)+1)^(1/Calculations!A16)-1</f>
        <v>0.14200530460008709</v>
      </c>
      <c r="X16" s="42"/>
      <c r="Y16" s="84">
        <f t="shared" si="7"/>
        <v>640096.11946563039</v>
      </c>
      <c r="Z16" s="84"/>
      <c r="AA16" s="24"/>
      <c r="AB16" s="24"/>
      <c r="AC16" s="24"/>
      <c r="AD16" s="24"/>
      <c r="AE16" s="24"/>
      <c r="AF16" s="24"/>
      <c r="AG16" s="24"/>
      <c r="AH16" s="24"/>
      <c r="AI16" s="24"/>
      <c r="AJ16" s="24"/>
      <c r="AK16" s="24"/>
      <c r="AL16" s="24"/>
      <c r="AM16" s="24">
        <f>Y16</f>
        <v>640096.11946563039</v>
      </c>
      <c r="AN16" s="24">
        <f>B16</f>
        <v>21394.807716754767</v>
      </c>
      <c r="AO16" s="24">
        <f>AN16</f>
        <v>21394.807716754767</v>
      </c>
      <c r="AP16" s="24">
        <f t="shared" ref="AP16:BD16" si="26">AO16</f>
        <v>21394.807716754767</v>
      </c>
      <c r="AQ16" s="24">
        <f t="shared" si="26"/>
        <v>21394.807716754767</v>
      </c>
      <c r="AR16" s="24">
        <f t="shared" si="26"/>
        <v>21394.807716754767</v>
      </c>
      <c r="AS16" s="24">
        <f t="shared" si="26"/>
        <v>21394.807716754767</v>
      </c>
      <c r="AT16" s="24">
        <f t="shared" si="26"/>
        <v>21394.807716754767</v>
      </c>
      <c r="AU16" s="24">
        <f t="shared" si="26"/>
        <v>21394.807716754767</v>
      </c>
      <c r="AV16" s="24">
        <f t="shared" si="26"/>
        <v>21394.807716754767</v>
      </c>
      <c r="AW16" s="24">
        <f t="shared" si="26"/>
        <v>21394.807716754767</v>
      </c>
      <c r="AX16" s="24">
        <f t="shared" si="26"/>
        <v>21394.807716754767</v>
      </c>
      <c r="AY16" s="24">
        <f t="shared" si="26"/>
        <v>21394.807716754767</v>
      </c>
      <c r="AZ16" s="24">
        <f t="shared" si="26"/>
        <v>21394.807716754767</v>
      </c>
      <c r="BA16" s="24">
        <f t="shared" si="26"/>
        <v>21394.807716754767</v>
      </c>
      <c r="BB16" s="24">
        <f t="shared" si="26"/>
        <v>21394.807716754767</v>
      </c>
      <c r="BC16" s="24">
        <f t="shared" si="26"/>
        <v>21394.807716754767</v>
      </c>
      <c r="BD16" s="24">
        <f t="shared" si="26"/>
        <v>21394.807716754767</v>
      </c>
      <c r="BE16" s="3"/>
      <c r="BF16" s="3"/>
    </row>
    <row r="17" spans="1:58" x14ac:dyDescent="0.2">
      <c r="A17" s="82">
        <f>A16+1</f>
        <v>14</v>
      </c>
      <c r="B17" s="41">
        <f>E17+H17+'Property Overview'!L52*((1+'Property Overview'!H47)^(Calculations!A17-1))</f>
        <v>22472.35329081089</v>
      </c>
      <c r="C17" s="41">
        <f t="shared" si="12"/>
        <v>201722.83012689135</v>
      </c>
      <c r="D17" s="41">
        <f t="shared" si="15"/>
        <v>224195.18341770224</v>
      </c>
      <c r="E17" s="59">
        <f>'Financial Analysis'!B7*((1+'Property Overview'!H47)^(A17-1))+('Financial Analysis'!B16-'Financial Analysis'!B14)*((1+'Property Overview'!H48)^(A17-1))+('Financial Analysis'!B14)*(('Property Overview'!H47+1)^(A17-1))</f>
        <v>51182.903966033176</v>
      </c>
      <c r="F17" s="59">
        <f>E17</f>
        <v>51182.903966033176</v>
      </c>
      <c r="G17" s="59">
        <f>G16*('Property Overview'!H47+1)</f>
        <v>-1552.3279565445562</v>
      </c>
      <c r="H17" s="41">
        <f>IF(A17&gt;='Property Overview'!C48+1,0,'Property Overview'!L51)</f>
        <v>-27158.222718677731</v>
      </c>
      <c r="I17" s="59">
        <f t="shared" si="1"/>
        <v>22472.35329081089</v>
      </c>
      <c r="J17" s="12">
        <f t="shared" si="2"/>
        <v>0.15392022801925268</v>
      </c>
      <c r="K17" s="59">
        <f>IF('Property Overview'!H53="Yes",E17/'Property Overview'!H45,(1+'Property Overview'!H46)*M16)</f>
        <v>1058812.8073985784</v>
      </c>
      <c r="L17" s="59"/>
      <c r="M17" s="59">
        <f t="shared" si="9"/>
        <v>1058812.8073985784</v>
      </c>
      <c r="N17" s="59">
        <f>IF('Property Overview'!C45="No",IF(A17&gt;='Property Overview'!C48,0,('Property Overview'!C46-'Property Overview'!C51)*(1+'Property Overview'!C49/12)^(A17*12)+'Property Overview'!L51/12*(((1+('Property Overview'!C49/12))^(A17*12)-1)/('Property Overview'!C49/12)))*(-1),0)</f>
        <v>-332358.57716621313</v>
      </c>
      <c r="O17" s="59">
        <f t="shared" si="16"/>
        <v>726454.2302323652</v>
      </c>
      <c r="P17" s="35">
        <f t="shared" si="3"/>
        <v>0.46949901239270359</v>
      </c>
      <c r="Q17" s="59">
        <f>-M17*'Property Overview'!H49</f>
        <v>-63528.768443914698</v>
      </c>
      <c r="R17" s="41">
        <f t="shared" si="4"/>
        <v>662925.4617884506</v>
      </c>
      <c r="S17" s="83">
        <f t="shared" si="10"/>
        <v>0.45682536527661532</v>
      </c>
      <c r="T17" s="83">
        <f t="shared" si="5"/>
        <v>0.107800811253908</v>
      </c>
      <c r="U17" s="59">
        <f t="shared" si="13"/>
        <v>-146000</v>
      </c>
      <c r="V17" s="59">
        <f t="shared" si="6"/>
        <v>741120.64520615281</v>
      </c>
      <c r="W17" s="13">
        <f>(Calculations!V17/(-Calculations!U17)+1)^(1/Calculations!A17)-1</f>
        <v>0.13755802701568243</v>
      </c>
      <c r="X17" s="42"/>
      <c r="Y17" s="84">
        <f t="shared" si="7"/>
        <v>685397.81507926155</v>
      </c>
      <c r="Z17" s="84"/>
      <c r="AA17" s="24"/>
      <c r="AB17" s="24"/>
      <c r="AC17" s="24"/>
      <c r="AD17" s="24"/>
      <c r="AE17" s="24"/>
      <c r="AF17" s="24"/>
      <c r="AG17" s="24"/>
      <c r="AH17" s="24"/>
      <c r="AI17" s="24"/>
      <c r="AJ17" s="24"/>
      <c r="AK17" s="24"/>
      <c r="AL17" s="24"/>
      <c r="AM17" s="24"/>
      <c r="AN17" s="24">
        <f>Y17</f>
        <v>685397.81507926155</v>
      </c>
      <c r="AO17" s="24">
        <f>B17</f>
        <v>22472.35329081089</v>
      </c>
      <c r="AP17" s="24">
        <f>AO17</f>
        <v>22472.35329081089</v>
      </c>
      <c r="AQ17" s="24">
        <f t="shared" ref="AQ17:BD17" si="27">AP17</f>
        <v>22472.35329081089</v>
      </c>
      <c r="AR17" s="24">
        <f t="shared" si="27"/>
        <v>22472.35329081089</v>
      </c>
      <c r="AS17" s="24">
        <f t="shared" si="27"/>
        <v>22472.35329081089</v>
      </c>
      <c r="AT17" s="24">
        <f t="shared" si="27"/>
        <v>22472.35329081089</v>
      </c>
      <c r="AU17" s="24">
        <f t="shared" si="27"/>
        <v>22472.35329081089</v>
      </c>
      <c r="AV17" s="24">
        <f t="shared" si="27"/>
        <v>22472.35329081089</v>
      </c>
      <c r="AW17" s="24">
        <f t="shared" si="27"/>
        <v>22472.35329081089</v>
      </c>
      <c r="AX17" s="24">
        <f t="shared" si="27"/>
        <v>22472.35329081089</v>
      </c>
      <c r="AY17" s="24">
        <f t="shared" si="27"/>
        <v>22472.35329081089</v>
      </c>
      <c r="AZ17" s="24">
        <f t="shared" si="27"/>
        <v>22472.35329081089</v>
      </c>
      <c r="BA17" s="24">
        <f t="shared" si="27"/>
        <v>22472.35329081089</v>
      </c>
      <c r="BB17" s="24">
        <f t="shared" si="27"/>
        <v>22472.35329081089</v>
      </c>
      <c r="BC17" s="24">
        <f t="shared" si="27"/>
        <v>22472.35329081089</v>
      </c>
      <c r="BD17" s="24">
        <f t="shared" si="27"/>
        <v>22472.35329081089</v>
      </c>
      <c r="BE17" s="3"/>
      <c r="BF17" s="3"/>
    </row>
    <row r="18" spans="1:58" x14ac:dyDescent="0.2">
      <c r="A18" s="82">
        <f>A17+1</f>
        <v>15</v>
      </c>
      <c r="B18" s="41">
        <f>F18+H18+'Property Overview'!L52*((1+'Property Overview'!H47)^(Calculations!A18-1))</f>
        <v>23572.514626001612</v>
      </c>
      <c r="C18" s="41">
        <f t="shared" si="12"/>
        <v>224195.18341770224</v>
      </c>
      <c r="D18" s="41">
        <f t="shared" si="15"/>
        <v>247767.69804370386</v>
      </c>
      <c r="E18" s="59">
        <f>'Financial Analysis'!B7*((1+'Property Overview'!H47)^(A18-1))+('Financial Analysis'!B16-'Financial Analysis'!B14)*((1+'Property Overview'!H48)^(A18-1))+('Financial Analysis'!B14)*(('Property Overview'!H47+1)^(A18-1))</f>
        <v>52314.111860354787</v>
      </c>
      <c r="F18" s="59">
        <f>E18+'Financial Analysis'!H8+'Financial Analysis'!H17</f>
        <v>52314.111860354787</v>
      </c>
      <c r="G18" s="59">
        <f>G17*('Property Overview'!H47+1)</f>
        <v>-1583.3745156754474</v>
      </c>
      <c r="H18" s="41">
        <f>IF(A18&gt;='Property Overview'!C48+1,0,'Property Overview'!L51)</f>
        <v>-27158.222718677731</v>
      </c>
      <c r="I18" s="59">
        <f t="shared" si="1"/>
        <v>23572.514626001612</v>
      </c>
      <c r="J18" s="12">
        <f t="shared" si="2"/>
        <v>0.16145557963014803</v>
      </c>
      <c r="K18" s="59">
        <f>IF('Property Overview'!H53="Yes",F18/'Property Overview'!H45,(1+'Property Overview'!H46)*M17)</f>
        <v>1090577.1916205357</v>
      </c>
      <c r="L18" s="59">
        <f>'Financial Analysis'!H28</f>
        <v>0</v>
      </c>
      <c r="M18" s="59">
        <f t="shared" si="9"/>
        <v>1090577.1916205357</v>
      </c>
      <c r="N18" s="59">
        <f>IF('Property Overview'!C45="No",IF(A18&gt;='Property Overview'!C48,0,('Property Overview'!C46-'Property Overview'!C51)*(1+'Property Overview'!C49/12)^(A18*12)+'Property Overview'!L51/12*(((1+('Property Overview'!C49/12))^(A18*12)-1)/('Property Overview'!C49/12)))*(-1),0)</f>
        <v>-316581.40962629078</v>
      </c>
      <c r="O18" s="59">
        <f t="shared" si="16"/>
        <v>773995.7819942449</v>
      </c>
      <c r="P18" s="35">
        <f t="shared" si="3"/>
        <v>0.48708264649233779</v>
      </c>
      <c r="Q18" s="59">
        <f>-M18*'Property Overview'!H49</f>
        <v>-65434.631497232142</v>
      </c>
      <c r="R18" s="41">
        <f t="shared" si="4"/>
        <v>708561.15049701277</v>
      </c>
      <c r="S18" s="83">
        <f t="shared" si="10"/>
        <v>0.47402878996276571</v>
      </c>
      <c r="T18" s="83">
        <f t="shared" si="5"/>
        <v>0.10439816740158513</v>
      </c>
      <c r="U18" s="59">
        <f t="shared" si="13"/>
        <v>-146000</v>
      </c>
      <c r="V18" s="59">
        <f t="shared" si="6"/>
        <v>810328.84854071657</v>
      </c>
      <c r="W18" s="13">
        <f>(Calculations!V18/(-Calculations!U18)+1)^(1/Calculations!A18)-1</f>
        <v>0.13348808709410243</v>
      </c>
      <c r="X18" s="85"/>
      <c r="Y18" s="84">
        <f t="shared" si="7"/>
        <v>732133.66512301436</v>
      </c>
      <c r="Z18" s="84"/>
      <c r="AA18" s="24"/>
      <c r="AB18" s="24"/>
      <c r="AC18" s="24"/>
      <c r="AD18" s="24"/>
      <c r="AE18" s="24"/>
      <c r="AF18" s="24"/>
      <c r="AG18" s="24"/>
      <c r="AH18" s="24"/>
      <c r="AI18" s="24"/>
      <c r="AJ18" s="24"/>
      <c r="AK18" s="24"/>
      <c r="AL18" s="24"/>
      <c r="AM18" s="24"/>
      <c r="AN18" s="24"/>
      <c r="AO18" s="24">
        <f>Y18</f>
        <v>732133.66512301436</v>
      </c>
      <c r="AP18" s="24">
        <f>B18</f>
        <v>23572.514626001612</v>
      </c>
      <c r="AQ18" s="24">
        <f>AP18</f>
        <v>23572.514626001612</v>
      </c>
      <c r="AR18" s="24">
        <f t="shared" ref="AR18:BD18" si="28">AQ18</f>
        <v>23572.514626001612</v>
      </c>
      <c r="AS18" s="24">
        <f t="shared" si="28"/>
        <v>23572.514626001612</v>
      </c>
      <c r="AT18" s="24">
        <f t="shared" si="28"/>
        <v>23572.514626001612</v>
      </c>
      <c r="AU18" s="24">
        <f t="shared" si="28"/>
        <v>23572.514626001612</v>
      </c>
      <c r="AV18" s="24">
        <f t="shared" si="28"/>
        <v>23572.514626001612</v>
      </c>
      <c r="AW18" s="24">
        <f t="shared" si="28"/>
        <v>23572.514626001612</v>
      </c>
      <c r="AX18" s="24">
        <f t="shared" si="28"/>
        <v>23572.514626001612</v>
      </c>
      <c r="AY18" s="24">
        <f t="shared" si="28"/>
        <v>23572.514626001612</v>
      </c>
      <c r="AZ18" s="24">
        <f t="shared" si="28"/>
        <v>23572.514626001612</v>
      </c>
      <c r="BA18" s="24">
        <f t="shared" si="28"/>
        <v>23572.514626001612</v>
      </c>
      <c r="BB18" s="24">
        <f t="shared" si="28"/>
        <v>23572.514626001612</v>
      </c>
      <c r="BC18" s="24">
        <f t="shared" si="28"/>
        <v>23572.514626001612</v>
      </c>
      <c r="BD18" s="24">
        <f t="shared" si="28"/>
        <v>23572.514626001612</v>
      </c>
      <c r="BE18" s="3"/>
      <c r="BF18" s="3"/>
    </row>
    <row r="19" spans="1:58" x14ac:dyDescent="0.2">
      <c r="A19" s="82">
        <f t="shared" ref="A19:A32" si="29">A18+1</f>
        <v>16</v>
      </c>
      <c r="B19" s="41">
        <f>E19+H19+'Property Overview'!L52*((1+'Property Overview'!H47)^(Calculations!A19-1))</f>
        <v>24695.754686046133</v>
      </c>
      <c r="C19" s="41">
        <f t="shared" si="12"/>
        <v>247767.69804370386</v>
      </c>
      <c r="D19" s="41">
        <f t="shared" si="15"/>
        <v>272463.45272975002</v>
      </c>
      <c r="E19" s="59">
        <f>'Financial Analysis'!B7*((1+'Property Overview'!H47)^(A19-1))+('Financial Analysis'!B16-'Financial Analysis'!B14)*((1+'Property Overview'!H48)^(A19-1))+('Financial Analysis'!B14)*(('Property Overview'!H47+1)^(A19-1))</f>
        <v>53469.019410712819</v>
      </c>
      <c r="F19" s="59">
        <f>E19</f>
        <v>53469.019410712819</v>
      </c>
      <c r="G19" s="59">
        <f>G18*('Property Overview'!H47+1)</f>
        <v>-1615.0420059889564</v>
      </c>
      <c r="H19" s="41">
        <f>IF(A19&gt;='Property Overview'!C48+1,0,'Property Overview'!L51)</f>
        <v>-27158.222718677731</v>
      </c>
      <c r="I19" s="59">
        <f t="shared" si="1"/>
        <v>24695.75468604613</v>
      </c>
      <c r="J19" s="12">
        <f t="shared" si="2"/>
        <v>0.16914900469894609</v>
      </c>
      <c r="K19" s="59">
        <f>IF('Property Overview'!H53="Yes",E19/'Property Overview'!H45,(1+'Property Overview'!H46)*M18)</f>
        <v>1123294.5073691518</v>
      </c>
      <c r="L19" s="59"/>
      <c r="M19" s="59">
        <f t="shared" si="9"/>
        <v>1123294.5073691518</v>
      </c>
      <c r="N19" s="59">
        <f>IF('Property Overview'!C45="No",IF(A19&gt;='Property Overview'!C48,0,('Property Overview'!C46-'Property Overview'!C51)*(1+'Property Overview'!C49/12)^(A19*12)+'Property Overview'!L51/12*(((1+('Property Overview'!C49/12))^(A19*12)-1)/('Property Overview'!C49/12)))*(-1),0)</f>
        <v>-300243.09631085547</v>
      </c>
      <c r="O19" s="59">
        <f t="shared" si="16"/>
        <v>823051.41105829633</v>
      </c>
      <c r="P19" s="35">
        <f t="shared" si="3"/>
        <v>0.50514646404176411</v>
      </c>
      <c r="Q19" s="59">
        <f>-M19*'Property Overview'!H49</f>
        <v>-67397.670442149101</v>
      </c>
      <c r="R19" s="41">
        <f t="shared" si="4"/>
        <v>755653.74061614729</v>
      </c>
      <c r="S19" s="83">
        <f t="shared" si="10"/>
        <v>0.49170099181630583</v>
      </c>
      <c r="T19" s="83">
        <f t="shared" si="5"/>
        <v>0.10131566591652036</v>
      </c>
      <c r="U19" s="59">
        <f t="shared" si="13"/>
        <v>-146000</v>
      </c>
      <c r="V19" s="59">
        <f t="shared" si="6"/>
        <v>882117.19334589737</v>
      </c>
      <c r="W19" s="13">
        <f>(Calculations!V19/(-Calculations!U19)+1)^(1/Calculations!A19)-1</f>
        <v>0.12974547466624609</v>
      </c>
      <c r="X19" s="3"/>
      <c r="Y19" s="84">
        <f t="shared" si="7"/>
        <v>780349.49530219345</v>
      </c>
      <c r="Z19" s="84"/>
      <c r="AA19" s="24"/>
      <c r="AB19" s="24"/>
      <c r="AC19" s="24"/>
      <c r="AD19" s="24"/>
      <c r="AE19" s="24"/>
      <c r="AF19" s="24"/>
      <c r="AG19" s="24"/>
      <c r="AH19" s="24"/>
      <c r="AI19" s="24"/>
      <c r="AJ19" s="24"/>
      <c r="AK19" s="24"/>
      <c r="AL19" s="24"/>
      <c r="AM19" s="24"/>
      <c r="AN19" s="24"/>
      <c r="AO19" s="24"/>
      <c r="AP19" s="24">
        <f>Y19</f>
        <v>780349.49530219345</v>
      </c>
      <c r="AQ19" s="24">
        <f>B19</f>
        <v>24695.754686046133</v>
      </c>
      <c r="AR19" s="24">
        <f>AQ19</f>
        <v>24695.754686046133</v>
      </c>
      <c r="AS19" s="24">
        <f t="shared" ref="AS19:BD19" si="30">AR19</f>
        <v>24695.754686046133</v>
      </c>
      <c r="AT19" s="24">
        <f t="shared" si="30"/>
        <v>24695.754686046133</v>
      </c>
      <c r="AU19" s="24">
        <f t="shared" si="30"/>
        <v>24695.754686046133</v>
      </c>
      <c r="AV19" s="24">
        <f t="shared" si="30"/>
        <v>24695.754686046133</v>
      </c>
      <c r="AW19" s="24">
        <f t="shared" si="30"/>
        <v>24695.754686046133</v>
      </c>
      <c r="AX19" s="24">
        <f t="shared" si="30"/>
        <v>24695.754686046133</v>
      </c>
      <c r="AY19" s="24">
        <f t="shared" si="30"/>
        <v>24695.754686046133</v>
      </c>
      <c r="AZ19" s="24">
        <f t="shared" si="30"/>
        <v>24695.754686046133</v>
      </c>
      <c r="BA19" s="24">
        <f t="shared" si="30"/>
        <v>24695.754686046133</v>
      </c>
      <c r="BB19" s="24">
        <f t="shared" si="30"/>
        <v>24695.754686046133</v>
      </c>
      <c r="BC19" s="24">
        <f t="shared" si="30"/>
        <v>24695.754686046133</v>
      </c>
      <c r="BD19" s="24">
        <f t="shared" si="30"/>
        <v>24695.754686046133</v>
      </c>
      <c r="BE19" s="3"/>
      <c r="BF19" s="3"/>
    </row>
    <row r="20" spans="1:58" x14ac:dyDescent="0.2">
      <c r="A20" s="82">
        <f t="shared" si="29"/>
        <v>17</v>
      </c>
      <c r="B20" s="41">
        <f>E20+H20+'Property Overview'!L52*((1+'Property Overview'!H47)^(Calculations!A20-1))</f>
        <v>25842.545800423086</v>
      </c>
      <c r="C20" s="41">
        <f t="shared" si="12"/>
        <v>272463.45272975002</v>
      </c>
      <c r="D20" s="41">
        <f t="shared" si="15"/>
        <v>298305.99853017309</v>
      </c>
      <c r="E20" s="59">
        <f>'Financial Analysis'!B7*((1+'Property Overview'!H47)^(A20-1))+('Financial Analysis'!B16-'Financial Analysis'!B14)*((1+'Property Overview'!H48)^(A20-1))+('Financial Analysis'!B14)*(('Property Overview'!H47+1)^(A20-1))</f>
        <v>54648.111365209552</v>
      </c>
      <c r="F20" s="59">
        <f>E20</f>
        <v>54648.111365209552</v>
      </c>
      <c r="G20" s="59">
        <f>G19*('Property Overview'!H47+1)</f>
        <v>-1647.3428461087356</v>
      </c>
      <c r="H20" s="41">
        <f>IF(A20&gt;='Property Overview'!C48+1,0,'Property Overview'!L51)</f>
        <v>-27158.222718677731</v>
      </c>
      <c r="I20" s="59">
        <f t="shared" si="1"/>
        <v>25842.545800423082</v>
      </c>
      <c r="J20" s="12">
        <f t="shared" si="2"/>
        <v>0.17700373835906222</v>
      </c>
      <c r="K20" s="59">
        <f>IF('Property Overview'!H53="Yes",E20/'Property Overview'!H45,(1+'Property Overview'!H46)*M19)</f>
        <v>1156993.3425902263</v>
      </c>
      <c r="L20" s="59"/>
      <c r="M20" s="59">
        <f t="shared" si="9"/>
        <v>1156993.3425902263</v>
      </c>
      <c r="N20" s="59">
        <f>IF('Property Overview'!C45="No",IF(A20&gt;='Property Overview'!C48,0,('Property Overview'!C46-'Property Overview'!C51)*(1+'Property Overview'!C49/12)^(A20*12)+'Property Overview'!L51/12*(((1+('Property Overview'!C49/12))^(A20*12)-1)/('Property Overview'!C49/12)))*(-1),0)</f>
        <v>-283323.6789745132</v>
      </c>
      <c r="O20" s="59">
        <f t="shared" si="16"/>
        <v>873669.66361571313</v>
      </c>
      <c r="P20" s="35">
        <f t="shared" si="3"/>
        <v>0.523704098341369</v>
      </c>
      <c r="Q20" s="59">
        <f>-M20*'Property Overview'!H49</f>
        <v>-69419.600555413577</v>
      </c>
      <c r="R20" s="41">
        <f t="shared" si="4"/>
        <v>804250.06306029949</v>
      </c>
      <c r="S20" s="83">
        <f t="shared" si="10"/>
        <v>0.50985526194914577</v>
      </c>
      <c r="T20" s="83">
        <f t="shared" si="5"/>
        <v>9.8509230145382584E-2</v>
      </c>
      <c r="U20" s="59">
        <f t="shared" si="13"/>
        <v>-146000</v>
      </c>
      <c r="V20" s="59">
        <f t="shared" si="6"/>
        <v>956556.06159047259</v>
      </c>
      <c r="W20" s="13">
        <f>(Calculations!V20/(-Calculations!U20)+1)^(1/Calculations!A20)-1</f>
        <v>0.12628907657407229</v>
      </c>
      <c r="X20" s="3"/>
      <c r="Y20" s="84">
        <f t="shared" si="7"/>
        <v>830092.60886072263</v>
      </c>
      <c r="Z20" s="84"/>
      <c r="AA20" s="24"/>
      <c r="AB20" s="24"/>
      <c r="AC20" s="24"/>
      <c r="AD20" s="24"/>
      <c r="AE20" s="24"/>
      <c r="AF20" s="24"/>
      <c r="AG20" s="24"/>
      <c r="AH20" s="24"/>
      <c r="AI20" s="24"/>
      <c r="AJ20" s="24"/>
      <c r="AK20" s="24"/>
      <c r="AL20" s="24"/>
      <c r="AM20" s="24"/>
      <c r="AN20" s="24"/>
      <c r="AO20" s="24"/>
      <c r="AP20" s="24"/>
      <c r="AQ20" s="24">
        <f>Y20</f>
        <v>830092.60886072263</v>
      </c>
      <c r="AR20" s="24">
        <f>B20</f>
        <v>25842.545800423086</v>
      </c>
      <c r="AS20" s="24">
        <f>AR20</f>
        <v>25842.545800423086</v>
      </c>
      <c r="AT20" s="24">
        <f t="shared" ref="AT20:BD20" si="31">AS20</f>
        <v>25842.545800423086</v>
      </c>
      <c r="AU20" s="24">
        <f t="shared" si="31"/>
        <v>25842.545800423086</v>
      </c>
      <c r="AV20" s="24">
        <f t="shared" si="31"/>
        <v>25842.545800423086</v>
      </c>
      <c r="AW20" s="24">
        <f t="shared" si="31"/>
        <v>25842.545800423086</v>
      </c>
      <c r="AX20" s="24">
        <f t="shared" si="31"/>
        <v>25842.545800423086</v>
      </c>
      <c r="AY20" s="24">
        <f t="shared" si="31"/>
        <v>25842.545800423086</v>
      </c>
      <c r="AZ20" s="24">
        <f t="shared" si="31"/>
        <v>25842.545800423086</v>
      </c>
      <c r="BA20" s="24">
        <f t="shared" si="31"/>
        <v>25842.545800423086</v>
      </c>
      <c r="BB20" s="24">
        <f t="shared" si="31"/>
        <v>25842.545800423086</v>
      </c>
      <c r="BC20" s="24">
        <f t="shared" si="31"/>
        <v>25842.545800423086</v>
      </c>
      <c r="BD20" s="24">
        <f t="shared" si="31"/>
        <v>25842.545800423086</v>
      </c>
      <c r="BE20" s="3"/>
      <c r="BF20" s="3"/>
    </row>
    <row r="21" spans="1:58" x14ac:dyDescent="0.2">
      <c r="A21" s="82">
        <f t="shared" si="29"/>
        <v>18</v>
      </c>
      <c r="B21" s="41">
        <f>E21+H21+'Property Overview'!L52*((1+'Property Overview'!H47)^(Calculations!A21-1))</f>
        <v>27013.369852750388</v>
      </c>
      <c r="C21" s="41">
        <f t="shared" si="12"/>
        <v>298305.99853017309</v>
      </c>
      <c r="D21" s="41">
        <f t="shared" si="15"/>
        <v>325319.36838292348</v>
      </c>
      <c r="E21" s="59">
        <f>'Financial Analysis'!B7*((1+'Property Overview'!H47)^(A21-1))+('Financial Analysis'!B16-'Financial Analysis'!B14)*((1+'Property Overview'!H48)^(A21-1))+('Financial Analysis'!B14)*(('Property Overview'!H47+1)^(A21-1))</f>
        <v>55851.882274459029</v>
      </c>
      <c r="F21" s="59">
        <f>E21</f>
        <v>55851.882274459029</v>
      </c>
      <c r="G21" s="59">
        <f>G20*('Property Overview'!H47+1)</f>
        <v>-1680.2897030309102</v>
      </c>
      <c r="H21" s="41">
        <f>IF(A21&gt;='Property Overview'!C48+1,0,'Property Overview'!L51)</f>
        <v>-27158.222718677731</v>
      </c>
      <c r="I21" s="59">
        <f t="shared" si="1"/>
        <v>27013.369852750388</v>
      </c>
      <c r="J21" s="12">
        <f t="shared" si="2"/>
        <v>0.18502308118322183</v>
      </c>
      <c r="K21" s="59">
        <f>IF('Property Overview'!H53="Yes",E21/'Property Overview'!H45,(1+'Property Overview'!H46)*M20)</f>
        <v>1191703.1428679333</v>
      </c>
      <c r="L21" s="59"/>
      <c r="M21" s="59">
        <f t="shared" si="9"/>
        <v>1191703.1428679333</v>
      </c>
      <c r="N21" s="59">
        <f>IF('Property Overview'!C45="No",IF(A21&gt;='Property Overview'!C48,0,('Property Overview'!C46-'Property Overview'!C51)*(1+'Property Overview'!C49/12)^(A21*12)+'Property Overview'!L51/12*(((1+('Property Overview'!C49/12))^(A21*12)-1)/('Property Overview'!C49/12)))*(-1),0)</f>
        <v>-265802.48951789632</v>
      </c>
      <c r="O21" s="59">
        <f t="shared" si="16"/>
        <v>925900.65335003694</v>
      </c>
      <c r="P21" s="35">
        <f t="shared" si="3"/>
        <v>0.542769586212837</v>
      </c>
      <c r="Q21" s="59">
        <f>-M21*'Property Overview'!H49</f>
        <v>-71502.188572075989</v>
      </c>
      <c r="R21" s="41">
        <f t="shared" si="4"/>
        <v>854398.46477796102</v>
      </c>
      <c r="S21" s="83">
        <f t="shared" si="10"/>
        <v>0.52850528472884872</v>
      </c>
      <c r="T21" s="83">
        <f t="shared" si="5"/>
        <v>9.5942512303697061E-2</v>
      </c>
      <c r="U21" s="59">
        <f t="shared" si="13"/>
        <v>-146000</v>
      </c>
      <c r="V21" s="59">
        <f t="shared" si="6"/>
        <v>1033717.8331608844</v>
      </c>
      <c r="W21" s="13">
        <f>(Calculations!V21/(-Calculations!U21)+1)^(1/Calculations!A21)-1</f>
        <v>0.12308471352462313</v>
      </c>
      <c r="X21" s="3"/>
      <c r="Y21" s="84">
        <f t="shared" si="7"/>
        <v>881411.83463071147</v>
      </c>
      <c r="Z21" s="84"/>
      <c r="AA21" s="24"/>
      <c r="AB21" s="24"/>
      <c r="AC21" s="24"/>
      <c r="AD21" s="24"/>
      <c r="AE21" s="24"/>
      <c r="AF21" s="24"/>
      <c r="AG21" s="24"/>
      <c r="AH21" s="24"/>
      <c r="AI21" s="24"/>
      <c r="AJ21" s="24"/>
      <c r="AK21" s="24"/>
      <c r="AL21" s="24"/>
      <c r="AM21" s="24"/>
      <c r="AN21" s="24"/>
      <c r="AO21" s="24"/>
      <c r="AP21" s="24"/>
      <c r="AQ21" s="24"/>
      <c r="AR21" s="24">
        <f>Y21</f>
        <v>881411.83463071147</v>
      </c>
      <c r="AS21" s="24">
        <f>B21</f>
        <v>27013.369852750388</v>
      </c>
      <c r="AT21" s="24">
        <f>AS21</f>
        <v>27013.369852750388</v>
      </c>
      <c r="AU21" s="24">
        <f t="shared" ref="AU21:BD21" si="32">AT21</f>
        <v>27013.369852750388</v>
      </c>
      <c r="AV21" s="24">
        <f t="shared" si="32"/>
        <v>27013.369852750388</v>
      </c>
      <c r="AW21" s="24">
        <f t="shared" si="32"/>
        <v>27013.369852750388</v>
      </c>
      <c r="AX21" s="24">
        <f t="shared" si="32"/>
        <v>27013.369852750388</v>
      </c>
      <c r="AY21" s="24">
        <f t="shared" si="32"/>
        <v>27013.369852750388</v>
      </c>
      <c r="AZ21" s="24">
        <f t="shared" si="32"/>
        <v>27013.369852750388</v>
      </c>
      <c r="BA21" s="24">
        <f t="shared" si="32"/>
        <v>27013.369852750388</v>
      </c>
      <c r="BB21" s="24">
        <f t="shared" si="32"/>
        <v>27013.369852750388</v>
      </c>
      <c r="BC21" s="24">
        <f t="shared" si="32"/>
        <v>27013.369852750388</v>
      </c>
      <c r="BD21" s="24">
        <f t="shared" si="32"/>
        <v>27013.369852750388</v>
      </c>
      <c r="BE21" s="3"/>
      <c r="BF21" s="3"/>
    </row>
    <row r="22" spans="1:58" x14ac:dyDescent="0.2">
      <c r="A22" s="82">
        <f t="shared" si="29"/>
        <v>19</v>
      </c>
      <c r="B22" s="41">
        <f>E22+H22+'Property Overview'!L52*((1+'Property Overview'!H47)^(Calculations!A22-1))</f>
        <v>28208.718472943696</v>
      </c>
      <c r="C22" s="41">
        <f t="shared" si="12"/>
        <v>325319.36838292348</v>
      </c>
      <c r="D22" s="41">
        <f t="shared" si="15"/>
        <v>353528.08685586718</v>
      </c>
      <c r="E22" s="59">
        <f>'Financial Analysis'!B7*((1+'Property Overview'!H47)^(A22-1))+('Financial Analysis'!B16-'Financial Analysis'!B14)*((1+'Property Overview'!H48)^(A22-1))+('Financial Analysis'!B14)*(('Property Overview'!H47+1)^(A22-1))</f>
        <v>57080.836688712952</v>
      </c>
      <c r="F22" s="59">
        <f>E22</f>
        <v>57080.836688712952</v>
      </c>
      <c r="G22" s="59">
        <f>G21*('Property Overview'!H47+1)</f>
        <v>-1713.8954970915286</v>
      </c>
      <c r="H22" s="41">
        <f>IF(A22&gt;='Property Overview'!C48+1,0,'Property Overview'!L51)</f>
        <v>-27158.222718677731</v>
      </c>
      <c r="I22" s="59">
        <f t="shared" si="1"/>
        <v>28208.718472943692</v>
      </c>
      <c r="J22" s="12">
        <f t="shared" si="2"/>
        <v>0.19321040049961433</v>
      </c>
      <c r="K22" s="59">
        <f>IF('Property Overview'!H53="Yes",E22/'Property Overview'!H45,(1+'Property Overview'!H46)*M21)</f>
        <v>1227454.2371539713</v>
      </c>
      <c r="L22" s="59"/>
      <c r="M22" s="59">
        <f t="shared" si="9"/>
        <v>1227454.2371539713</v>
      </c>
      <c r="N22" s="59">
        <f>IF('Property Overview'!C45="No",IF(A22&gt;='Property Overview'!C48,0,('Property Overview'!C46-'Property Overview'!C51)*(1+'Property Overview'!C49/12)^(A22*12)+'Property Overview'!L51/12*(((1+('Property Overview'!C49/12))^(A22*12)-1)/('Property Overview'!C49/12)))*(-1),0)</f>
        <v>-247658.1247403184</v>
      </c>
      <c r="O22" s="59">
        <f t="shared" si="16"/>
        <v>979796.11241365294</v>
      </c>
      <c r="P22" s="35">
        <f t="shared" si="3"/>
        <v>0.56235738038739524</v>
      </c>
      <c r="Q22" s="59">
        <f>-M22*'Property Overview'!H49</f>
        <v>-73647.254229238271</v>
      </c>
      <c r="R22" s="41">
        <f t="shared" si="4"/>
        <v>906148.85818441468</v>
      </c>
      <c r="S22" s="83">
        <f t="shared" si="10"/>
        <v>0.54766514985888604</v>
      </c>
      <c r="T22" s="83">
        <f t="shared" si="5"/>
        <v>9.3585271013071097E-2</v>
      </c>
      <c r="U22" s="59">
        <f t="shared" si="13"/>
        <v>-146000</v>
      </c>
      <c r="V22" s="59">
        <f t="shared" si="6"/>
        <v>1113676.9450402819</v>
      </c>
      <c r="W22" s="13">
        <f>(Calculations!V22/(-Calculations!U22)+1)^(1/Calculations!A22)-1</f>
        <v>0.12010368919468184</v>
      </c>
      <c r="X22" s="3"/>
      <c r="Y22" s="84">
        <f t="shared" si="7"/>
        <v>934357.57665735832</v>
      </c>
      <c r="Z22" s="84"/>
      <c r="AA22" s="24"/>
      <c r="AB22" s="24"/>
      <c r="AC22" s="24"/>
      <c r="AD22" s="24"/>
      <c r="AE22" s="24"/>
      <c r="AF22" s="24"/>
      <c r="AG22" s="24"/>
      <c r="AH22" s="24"/>
      <c r="AI22" s="24"/>
      <c r="AJ22" s="24"/>
      <c r="AK22" s="24"/>
      <c r="AL22" s="24"/>
      <c r="AM22" s="24"/>
      <c r="AN22" s="24"/>
      <c r="AO22" s="24"/>
      <c r="AP22" s="24"/>
      <c r="AQ22" s="24"/>
      <c r="AR22" s="24"/>
      <c r="AS22" s="24">
        <f>Y22</f>
        <v>934357.57665735832</v>
      </c>
      <c r="AT22" s="24">
        <f>B22</f>
        <v>28208.718472943696</v>
      </c>
      <c r="AU22" s="24">
        <f>AT22</f>
        <v>28208.718472943696</v>
      </c>
      <c r="AV22" s="24">
        <f t="shared" ref="AV22:BD22" si="33">AU22</f>
        <v>28208.718472943696</v>
      </c>
      <c r="AW22" s="24">
        <f t="shared" si="33"/>
        <v>28208.718472943696</v>
      </c>
      <c r="AX22" s="24">
        <f t="shared" si="33"/>
        <v>28208.718472943696</v>
      </c>
      <c r="AY22" s="24">
        <f t="shared" si="33"/>
        <v>28208.718472943696</v>
      </c>
      <c r="AZ22" s="24">
        <f t="shared" si="33"/>
        <v>28208.718472943696</v>
      </c>
      <c r="BA22" s="24">
        <f t="shared" si="33"/>
        <v>28208.718472943696</v>
      </c>
      <c r="BB22" s="24">
        <f t="shared" si="33"/>
        <v>28208.718472943696</v>
      </c>
      <c r="BC22" s="24">
        <f t="shared" si="33"/>
        <v>28208.718472943696</v>
      </c>
      <c r="BD22" s="24">
        <f t="shared" si="33"/>
        <v>28208.718472943696</v>
      </c>
      <c r="BE22" s="3"/>
      <c r="BF22" s="3"/>
    </row>
    <row r="23" spans="1:58" x14ac:dyDescent="0.2">
      <c r="A23" s="82">
        <f t="shared" si="29"/>
        <v>20</v>
      </c>
      <c r="B23" s="41">
        <f>F23+H23+'Property Overview'!L52*((1+'Property Overview'!H47)^(Calculations!A23-1))</f>
        <v>29429.093233228505</v>
      </c>
      <c r="C23" s="41">
        <f t="shared" si="12"/>
        <v>353528.08685586718</v>
      </c>
      <c r="D23" s="41">
        <f t="shared" si="15"/>
        <v>382957.18008909567</v>
      </c>
      <c r="E23" s="59">
        <f>'Financial Analysis'!B7*((1+'Property Overview'!H47)^(A23-1))+('Financial Analysis'!B16-'Financial Analysis'!B14)*((1+'Property Overview'!H48)^(A23-1))+('Financial Analysis'!B14)*(('Property Overview'!H47+1)^(A23-1))</f>
        <v>58335.489358939594</v>
      </c>
      <c r="F23" s="59">
        <f>E23+'Financial Analysis'!I8+'Financial Analysis'!I17</f>
        <v>58335.489358939594</v>
      </c>
      <c r="G23" s="59">
        <f>G22*('Property Overview'!H47+1)</f>
        <v>-1748.1734070333591</v>
      </c>
      <c r="H23" s="41">
        <f>IF(A23&gt;='Property Overview'!C48+1,0,'Property Overview'!L51)</f>
        <v>-27158.222718677731</v>
      </c>
      <c r="I23" s="59">
        <f t="shared" si="1"/>
        <v>29429.093233228501</v>
      </c>
      <c r="J23" s="12">
        <f t="shared" si="2"/>
        <v>0.2015691317344418</v>
      </c>
      <c r="K23" s="59">
        <f>IF('Property Overview'!H53="Yes",F23/'Property Overview'!H45,(1+'Property Overview'!H46)*M22)</f>
        <v>1264277.8642685905</v>
      </c>
      <c r="L23" s="59">
        <f>'Financial Analysis'!I28</f>
        <v>0</v>
      </c>
      <c r="M23" s="59">
        <f t="shared" si="9"/>
        <v>1264277.8642685905</v>
      </c>
      <c r="N23" s="59">
        <f>IF('Property Overview'!C45="No",IF(A23&gt;='Property Overview'!C48,0,('Property Overview'!C46-'Property Overview'!C51)*(1+'Property Overview'!C49/12)^(A23*12)+'Property Overview'!L51/12*(((1+('Property Overview'!C49/12))^(A23*12)-1)/('Property Overview'!C49/12)))*(-1),0)</f>
        <v>-228868.42019446183</v>
      </c>
      <c r="O23" s="59">
        <f t="shared" si="16"/>
        <v>1035409.4440741286</v>
      </c>
      <c r="P23" s="35">
        <f t="shared" si="3"/>
        <v>0.58248236228564521</v>
      </c>
      <c r="Q23" s="59">
        <f>-M23*'Property Overview'!H49</f>
        <v>-75856.671856115427</v>
      </c>
      <c r="R23" s="41">
        <f t="shared" si="4"/>
        <v>959552.7722180133</v>
      </c>
      <c r="S23" s="83">
        <f t="shared" si="10"/>
        <v>0.56734936484128162</v>
      </c>
      <c r="T23" s="83">
        <f t="shared" si="5"/>
        <v>9.1412141083302423E-2</v>
      </c>
      <c r="U23" s="59">
        <f t="shared" si="13"/>
        <v>-146000</v>
      </c>
      <c r="V23" s="59">
        <f t="shared" si="6"/>
        <v>1196509.952307109</v>
      </c>
      <c r="W23" s="13">
        <f>(Calculations!V23/(-Calculations!U23)+1)^(1/Calculations!A23)-1</f>
        <v>0.11732169853916141</v>
      </c>
      <c r="X23" s="3"/>
      <c r="Y23" s="84">
        <f t="shared" si="7"/>
        <v>988981.86545124184</v>
      </c>
      <c r="Z23" s="84"/>
      <c r="AA23" s="24"/>
      <c r="AB23" s="24"/>
      <c r="AC23" s="24"/>
      <c r="AD23" s="24"/>
      <c r="AE23" s="24"/>
      <c r="AF23" s="24"/>
      <c r="AG23" s="24"/>
      <c r="AH23" s="24"/>
      <c r="AI23" s="24"/>
      <c r="AJ23" s="24"/>
      <c r="AK23" s="24"/>
      <c r="AL23" s="24"/>
      <c r="AM23" s="24"/>
      <c r="AN23" s="24"/>
      <c r="AO23" s="24"/>
      <c r="AP23" s="24"/>
      <c r="AQ23" s="24"/>
      <c r="AR23" s="24"/>
      <c r="AS23" s="24"/>
      <c r="AT23" s="24">
        <f>Y23</f>
        <v>988981.86545124184</v>
      </c>
      <c r="AU23" s="24">
        <f>B23</f>
        <v>29429.093233228505</v>
      </c>
      <c r="AV23" s="24">
        <f>AU23</f>
        <v>29429.093233228505</v>
      </c>
      <c r="AW23" s="24">
        <f t="shared" ref="AW23:BD23" si="34">AV23</f>
        <v>29429.093233228505</v>
      </c>
      <c r="AX23" s="24">
        <f t="shared" si="34"/>
        <v>29429.093233228505</v>
      </c>
      <c r="AY23" s="24">
        <f t="shared" si="34"/>
        <v>29429.093233228505</v>
      </c>
      <c r="AZ23" s="24">
        <f t="shared" si="34"/>
        <v>29429.093233228505</v>
      </c>
      <c r="BA23" s="24">
        <f t="shared" si="34"/>
        <v>29429.093233228505</v>
      </c>
      <c r="BB23" s="24">
        <f t="shared" si="34"/>
        <v>29429.093233228505</v>
      </c>
      <c r="BC23" s="24">
        <f t="shared" si="34"/>
        <v>29429.093233228505</v>
      </c>
      <c r="BD23" s="24">
        <f t="shared" si="34"/>
        <v>29429.093233228505</v>
      </c>
      <c r="BE23" s="3"/>
      <c r="BF23" s="3"/>
    </row>
    <row r="24" spans="1:58" x14ac:dyDescent="0.2">
      <c r="A24" s="82">
        <f t="shared" si="29"/>
        <v>21</v>
      </c>
      <c r="B24" s="41">
        <f>E24+H24+'Property Overview'!L52*((1+'Property Overview'!H47)^(Calculations!A24-1))</f>
        <v>30675.005848083561</v>
      </c>
      <c r="C24" s="41">
        <f t="shared" si="12"/>
        <v>382957.18008909567</v>
      </c>
      <c r="D24" s="41">
        <f t="shared" si="15"/>
        <v>413632.18593717925</v>
      </c>
      <c r="E24" s="59">
        <f>'Financial Analysis'!B7*((1+'Property Overview'!H47)^(A24-1))+('Financial Analysis'!B16-'Financial Analysis'!B14)*((1+'Property Overview'!H48)^(A24-1))+('Financial Analysis'!B14)*(('Property Overview'!H47+1)^(A24-1))</f>
        <v>59616.365441935319</v>
      </c>
      <c r="F24" s="59">
        <f>E24</f>
        <v>59616.365441935319</v>
      </c>
      <c r="G24" s="59">
        <f>G23*('Property Overview'!H47+1)</f>
        <v>-1783.1368751740263</v>
      </c>
      <c r="H24" s="41">
        <f>IF(A24&gt;='Property Overview'!C48+1,0,'Property Overview'!L51)</f>
        <v>-27158.222718677731</v>
      </c>
      <c r="I24" s="59">
        <f t="shared" si="1"/>
        <v>30675.005848083565</v>
      </c>
      <c r="J24" s="12">
        <f t="shared" si="2"/>
        <v>0.21010277978139427</v>
      </c>
      <c r="K24" s="59">
        <f>IF('Property Overview'!H53="Yes",E24/'Property Overview'!H45,(1+'Property Overview'!H46)*M23)</f>
        <v>1302206.2001966482</v>
      </c>
      <c r="L24" s="59"/>
      <c r="M24" s="59">
        <f t="shared" si="9"/>
        <v>1302206.2001966482</v>
      </c>
      <c r="N24" s="59">
        <f>IF('Property Overview'!C45="No",IF(A24&gt;='Property Overview'!C48,0,('Property Overview'!C46-'Property Overview'!C51)*(1+'Property Overview'!C49/12)^(A24*12)+'Property Overview'!L51/12*(((1+('Property Overview'!C49/12))^(A24*12)-1)/('Property Overview'!C49/12)))*(-1),0)</f>
        <v>-209410.423111154</v>
      </c>
      <c r="O24" s="59">
        <f t="shared" si="16"/>
        <v>1092795.7770854943</v>
      </c>
      <c r="P24" s="35">
        <f t="shared" si="3"/>
        <v>0.60315985520170667</v>
      </c>
      <c r="Q24" s="59">
        <f>-M24*'Property Overview'!H49</f>
        <v>-78132.372011798885</v>
      </c>
      <c r="R24" s="41">
        <f t="shared" si="4"/>
        <v>1014663.4050736954</v>
      </c>
      <c r="S24" s="83">
        <f t="shared" si="10"/>
        <v>0.58757286783401097</v>
      </c>
      <c r="T24" s="83">
        <f t="shared" si="5"/>
        <v>8.9401689190550165E-2</v>
      </c>
      <c r="U24" s="59">
        <f t="shared" si="13"/>
        <v>-146000</v>
      </c>
      <c r="V24" s="59">
        <f t="shared" si="6"/>
        <v>1282295.5910108746</v>
      </c>
      <c r="W24" s="13">
        <f>(Calculations!V24/(-Calculations!U24)+1)^(1/Calculations!A24)-1</f>
        <v>0.11471799339876543</v>
      </c>
      <c r="X24" s="3"/>
      <c r="Y24" s="84">
        <f t="shared" si="7"/>
        <v>1045338.4109217789</v>
      </c>
      <c r="Z24" s="84"/>
      <c r="AA24" s="24"/>
      <c r="AB24" s="24"/>
      <c r="AC24" s="24"/>
      <c r="AD24" s="24"/>
      <c r="AE24" s="24"/>
      <c r="AF24" s="24"/>
      <c r="AG24" s="24"/>
      <c r="AH24" s="24"/>
      <c r="AI24" s="24"/>
      <c r="AJ24" s="24"/>
      <c r="AK24" s="24"/>
      <c r="AL24" s="24"/>
      <c r="AM24" s="24"/>
      <c r="AN24" s="24"/>
      <c r="AO24" s="24"/>
      <c r="AP24" s="24"/>
      <c r="AQ24" s="24"/>
      <c r="AR24" s="24"/>
      <c r="AS24" s="24"/>
      <c r="AT24" s="24"/>
      <c r="AU24" s="24">
        <f>Y24</f>
        <v>1045338.4109217789</v>
      </c>
      <c r="AV24" s="24">
        <f>B24</f>
        <v>30675.005848083561</v>
      </c>
      <c r="AW24" s="24">
        <f>AV24</f>
        <v>30675.005848083561</v>
      </c>
      <c r="AX24" s="24">
        <f t="shared" ref="AX24:BD24" si="35">AW24</f>
        <v>30675.005848083561</v>
      </c>
      <c r="AY24" s="24">
        <f t="shared" si="35"/>
        <v>30675.005848083561</v>
      </c>
      <c r="AZ24" s="24">
        <f t="shared" si="35"/>
        <v>30675.005848083561</v>
      </c>
      <c r="BA24" s="24">
        <f t="shared" si="35"/>
        <v>30675.005848083561</v>
      </c>
      <c r="BB24" s="24">
        <f t="shared" si="35"/>
        <v>30675.005848083561</v>
      </c>
      <c r="BC24" s="24">
        <f t="shared" si="35"/>
        <v>30675.005848083561</v>
      </c>
      <c r="BD24" s="24">
        <f t="shared" si="35"/>
        <v>30675.005848083561</v>
      </c>
      <c r="BE24" s="3"/>
      <c r="BF24" s="3"/>
    </row>
    <row r="25" spans="1:58" x14ac:dyDescent="0.2">
      <c r="A25" s="82">
        <f t="shared" si="29"/>
        <v>22</v>
      </c>
      <c r="B25" s="41">
        <f>E25+H25+'Property Overview'!L52*((1+'Property Overview'!H47)^(Calculations!A25-1))</f>
        <v>31946.978378193857</v>
      </c>
      <c r="C25" s="41">
        <f t="shared" si="12"/>
        <v>413632.18593717925</v>
      </c>
      <c r="D25" s="41">
        <f t="shared" si="15"/>
        <v>445579.16431537311</v>
      </c>
      <c r="E25" s="59">
        <f>'Financial Analysis'!B7*((1+'Property Overview'!H47)^(A25-1))+('Financial Analysis'!B16-'Financial Analysis'!B14)*((1+'Property Overview'!H48)^(A25-1))+('Financial Analysis'!B14)*(('Property Overview'!H47+1)^(A25-1))</f>
        <v>60924.000709549095</v>
      </c>
      <c r="F25" s="59">
        <f>E25</f>
        <v>60924.000709549095</v>
      </c>
      <c r="G25" s="59">
        <f>G24*('Property Overview'!H47+1)</f>
        <v>-1818.7996126775067</v>
      </c>
      <c r="H25" s="41">
        <f>IF(A25&gt;='Property Overview'!C48+1,0,'Property Overview'!L51)</f>
        <v>-27158.222718677731</v>
      </c>
      <c r="I25" s="59">
        <f t="shared" si="1"/>
        <v>31946.97837819386</v>
      </c>
      <c r="J25" s="12">
        <f t="shared" si="2"/>
        <v>0.21881492039858808</v>
      </c>
      <c r="K25" s="59">
        <f>IF('Property Overview'!H53="Yes",E25/'Property Overview'!H45,(1+'Property Overview'!H46)*M24)</f>
        <v>1341272.3862025477</v>
      </c>
      <c r="L25" s="59"/>
      <c r="M25" s="59">
        <f t="shared" si="9"/>
        <v>1341272.3862025477</v>
      </c>
      <c r="N25" s="59">
        <f>IF('Property Overview'!C45="No",IF(A25&gt;='Property Overview'!C48,0,('Property Overview'!C46-'Property Overview'!C51)*(1+'Property Overview'!C49/12)^(A25*12)+'Property Overview'!L51/12*(((1+('Property Overview'!C49/12))^(A25*12)-1)/('Property Overview'!C49/12)))*(-1),0)</f>
        <v>-189260.36436116148</v>
      </c>
      <c r="O25" s="59">
        <f>M25+N25</f>
        <v>1152012.0218413863</v>
      </c>
      <c r="P25" s="35">
        <f t="shared" si="3"/>
        <v>0.62440563790469827</v>
      </c>
      <c r="Q25" s="59">
        <f>-M25*'Property Overview'!H49</f>
        <v>-80476.343172152861</v>
      </c>
      <c r="R25" s="41">
        <f t="shared" si="4"/>
        <v>1071535.6786692333</v>
      </c>
      <c r="S25" s="83">
        <f t="shared" si="10"/>
        <v>0.60835104091597159</v>
      </c>
      <c r="T25" s="83">
        <f t="shared" si="5"/>
        <v>8.7535680827358589E-2</v>
      </c>
      <c r="U25" s="59">
        <f t="shared" si="13"/>
        <v>-146000</v>
      </c>
      <c r="V25" s="59">
        <f t="shared" si="6"/>
        <v>1371114.8429846065</v>
      </c>
      <c r="W25" s="13">
        <f>(Calculations!V25/(-Calculations!U25)+1)^(1/Calculations!A25)-1</f>
        <v>0.11227473587062353</v>
      </c>
      <c r="X25" s="3"/>
      <c r="Y25" s="84">
        <f t="shared" si="7"/>
        <v>1103482.6570474273</v>
      </c>
      <c r="Z25" s="84"/>
      <c r="AA25" s="24"/>
      <c r="AB25" s="24"/>
      <c r="AC25" s="24"/>
      <c r="AD25" s="24"/>
      <c r="AE25" s="24"/>
      <c r="AF25" s="24"/>
      <c r="AG25" s="24"/>
      <c r="AH25" s="24"/>
      <c r="AI25" s="24"/>
      <c r="AJ25" s="24"/>
      <c r="AK25" s="24"/>
      <c r="AL25" s="24"/>
      <c r="AM25" s="24"/>
      <c r="AN25" s="24"/>
      <c r="AO25" s="24"/>
      <c r="AP25" s="24"/>
      <c r="AQ25" s="24"/>
      <c r="AR25" s="24"/>
      <c r="AS25" s="24"/>
      <c r="AT25" s="24"/>
      <c r="AU25" s="24"/>
      <c r="AV25" s="24">
        <f>Y25</f>
        <v>1103482.6570474273</v>
      </c>
      <c r="AW25" s="24">
        <f>B25</f>
        <v>31946.978378193857</v>
      </c>
      <c r="AX25" s="24">
        <f>AW25</f>
        <v>31946.978378193857</v>
      </c>
      <c r="AY25" s="24">
        <f t="shared" ref="AY25:BD25" si="36">AX25</f>
        <v>31946.978378193857</v>
      </c>
      <c r="AZ25" s="24">
        <f t="shared" si="36"/>
        <v>31946.978378193857</v>
      </c>
      <c r="BA25" s="24">
        <f t="shared" si="36"/>
        <v>31946.978378193857</v>
      </c>
      <c r="BB25" s="24">
        <f t="shared" si="36"/>
        <v>31946.978378193857</v>
      </c>
      <c r="BC25" s="24">
        <f t="shared" si="36"/>
        <v>31946.978378193857</v>
      </c>
      <c r="BD25" s="24">
        <f t="shared" si="36"/>
        <v>31946.978378193857</v>
      </c>
      <c r="BE25" s="3"/>
      <c r="BF25" s="3"/>
    </row>
    <row r="26" spans="1:58" x14ac:dyDescent="0.2">
      <c r="A26" s="82">
        <f t="shared" si="29"/>
        <v>23</v>
      </c>
      <c r="B26" s="41">
        <f>E26+H26+'Property Overview'!L52*((1+'Property Overview'!H47)^(Calculations!A26-1))</f>
        <v>33245.543438494125</v>
      </c>
      <c r="C26" s="41">
        <f t="shared" si="12"/>
        <v>445579.16431537311</v>
      </c>
      <c r="D26" s="41">
        <f t="shared" si="15"/>
        <v>478824.70775386726</v>
      </c>
      <c r="E26" s="59">
        <f>'Financial Analysis'!B7*((1+'Property Overview'!H47)^(A26-1))+('Financial Analysis'!B16-'Financial Analysis'!B14)*((1+'Property Overview'!H48)^(A26-1))+('Financial Analysis'!B14)*(('Property Overview'!H47+1)^(A26-1))</f>
        <v>62258.941762102913</v>
      </c>
      <c r="F26" s="59">
        <f>E26</f>
        <v>62258.941762102913</v>
      </c>
      <c r="G26" s="59">
        <f>G25*('Property Overview'!H47+1)</f>
        <v>-1855.1756049310568</v>
      </c>
      <c r="H26" s="41">
        <f>IF(A26&gt;='Property Overview'!C48+1,0,'Property Overview'!L51)</f>
        <v>-27158.222718677731</v>
      </c>
      <c r="I26" s="59">
        <f t="shared" si="1"/>
        <v>33245.543438494125</v>
      </c>
      <c r="J26" s="12">
        <f t="shared" si="2"/>
        <v>0.2277092016335214</v>
      </c>
      <c r="K26" s="59">
        <f>IF('Property Overview'!H53="Yes",E26/'Property Overview'!H45,(1+'Property Overview'!H46)*M25)</f>
        <v>1381510.5577886242</v>
      </c>
      <c r="L26" s="59"/>
      <c r="M26" s="59">
        <f t="shared" si="9"/>
        <v>1381510.5577886242</v>
      </c>
      <c r="N26" s="59">
        <f>IF('Property Overview'!C45="No",IF(A26&gt;='Property Overview'!C48,0,('Property Overview'!C46-'Property Overview'!C51)*(1+'Property Overview'!C49/12)^(A26*12)+'Property Overview'!L51/12*(((1+('Property Overview'!C49/12))^(A26*12)-1)/('Property Overview'!C49/12)))*(-1),0)</f>
        <v>-168393.62941974949</v>
      </c>
      <c r="O26" s="59">
        <f>M26+N26</f>
        <v>1213116.9283688748</v>
      </c>
      <c r="P26" s="35">
        <f t="shared" si="3"/>
        <v>0.64623595867111372</v>
      </c>
      <c r="Q26" s="59">
        <f>-M26*'Property Overview'!H49</f>
        <v>-82890.633467317442</v>
      </c>
      <c r="R26" s="41">
        <f t="shared" si="4"/>
        <v>1130226.2949015573</v>
      </c>
      <c r="S26" s="83">
        <f t="shared" si="10"/>
        <v>0.62969972377272632</v>
      </c>
      <c r="T26" s="83">
        <f t="shared" si="5"/>
        <v>8.5798505361012176E-2</v>
      </c>
      <c r="U26" s="59">
        <f t="shared" si="13"/>
        <v>-146000</v>
      </c>
      <c r="V26" s="59">
        <f t="shared" si="6"/>
        <v>1463051.0026554246</v>
      </c>
      <c r="W26" s="13">
        <f>(Calculations!V26/(-Calculations!U26)+1)^(1/Calculations!A26)-1</f>
        <v>0.10997649096440476</v>
      </c>
      <c r="X26" s="3"/>
      <c r="Y26" s="84">
        <f t="shared" si="7"/>
        <v>1163471.8383400515</v>
      </c>
      <c r="Z26" s="84"/>
      <c r="AA26" s="24"/>
      <c r="AB26" s="24"/>
      <c r="AC26" s="24"/>
      <c r="AD26" s="24"/>
      <c r="AE26" s="24"/>
      <c r="AF26" s="24"/>
      <c r="AG26" s="24"/>
      <c r="AH26" s="24"/>
      <c r="AI26" s="24"/>
      <c r="AJ26" s="24"/>
      <c r="AK26" s="24"/>
      <c r="AL26" s="24"/>
      <c r="AM26" s="24"/>
      <c r="AN26" s="24"/>
      <c r="AO26" s="24"/>
      <c r="AP26" s="24"/>
      <c r="AQ26" s="24"/>
      <c r="AR26" s="24"/>
      <c r="AS26" s="24"/>
      <c r="AT26" s="24"/>
      <c r="AU26" s="24"/>
      <c r="AV26" s="24"/>
      <c r="AW26" s="24">
        <f>Y26</f>
        <v>1163471.8383400515</v>
      </c>
      <c r="AX26" s="24">
        <f>B26</f>
        <v>33245.543438494125</v>
      </c>
      <c r="AY26" s="24">
        <f t="shared" ref="AY26:BD26" si="37">AX26</f>
        <v>33245.543438494125</v>
      </c>
      <c r="AZ26" s="24">
        <f t="shared" si="37"/>
        <v>33245.543438494125</v>
      </c>
      <c r="BA26" s="24">
        <f t="shared" si="37"/>
        <v>33245.543438494125</v>
      </c>
      <c r="BB26" s="24">
        <f t="shared" si="37"/>
        <v>33245.543438494125</v>
      </c>
      <c r="BC26" s="24">
        <f t="shared" si="37"/>
        <v>33245.543438494125</v>
      </c>
      <c r="BD26" s="24">
        <f t="shared" si="37"/>
        <v>33245.543438494125</v>
      </c>
      <c r="BE26" s="3"/>
      <c r="BF26" s="3"/>
    </row>
    <row r="27" spans="1:58" x14ac:dyDescent="0.2">
      <c r="A27" s="82">
        <f t="shared" si="29"/>
        <v>24</v>
      </c>
      <c r="B27" s="41">
        <f>E27+H27+'Property Overview'!L52*((1+'Property Overview'!H47)^(Calculations!A27-1))</f>
        <v>34571.244410384017</v>
      </c>
      <c r="C27" s="41">
        <f t="shared" si="12"/>
        <v>478824.70775386726</v>
      </c>
      <c r="D27" s="41">
        <f t="shared" si="15"/>
        <v>513395.9521642513</v>
      </c>
      <c r="E27" s="59">
        <f>'Financial Analysis'!B7*((1+'Property Overview'!H47)^(A27-1))+('Financial Analysis'!B16-'Financial Analysis'!B14)*((1+'Property Overview'!H48)^(A27-1))+('Financial Analysis'!B14)*(('Property Overview'!H47+1)^(A27-1))</f>
        <v>63621.746246091425</v>
      </c>
      <c r="F27" s="59">
        <f>E27</f>
        <v>63621.746246091425</v>
      </c>
      <c r="G27" s="59">
        <f>G26*('Property Overview'!H47+1)</f>
        <v>-1892.279117029678</v>
      </c>
      <c r="H27" s="41">
        <f>IF(A27&gt;='Property Overview'!C48+1,0,'Property Overview'!L51)</f>
        <v>-27158.222718677731</v>
      </c>
      <c r="I27" s="59">
        <f t="shared" si="1"/>
        <v>34571.244410384017</v>
      </c>
      <c r="J27" s="12">
        <f t="shared" si="2"/>
        <v>0.23678934527660286</v>
      </c>
      <c r="K27" s="59">
        <f>IF('Property Overview'!H53="Yes",E27/'Property Overview'!H45,(1+'Property Overview'!H46)*M26)</f>
        <v>1422955.874522283</v>
      </c>
      <c r="L27" s="59"/>
      <c r="M27" s="59">
        <f t="shared" si="9"/>
        <v>1422955.874522283</v>
      </c>
      <c r="N27" s="59">
        <f>IF('Property Overview'!C45="No",IF(A27&gt;='Property Overview'!C48,0,('Property Overview'!C46-'Property Overview'!C51)*(1+'Property Overview'!C49/12)^(A27*12)+'Property Overview'!L51/12*(((1+('Property Overview'!C49/12))^(A27*12)-1)/('Property Overview'!C49/12)))*(-1),0)</f>
        <v>-146784.72829854011</v>
      </c>
      <c r="O27" s="59">
        <f t="shared" si="16"/>
        <v>1276171.146223743</v>
      </c>
      <c r="P27" s="35">
        <f t="shared" si="3"/>
        <v>0.66866754976200116</v>
      </c>
      <c r="Q27" s="59">
        <f>-M27*'Property Overview'!H49</f>
        <v>-85377.35247133697</v>
      </c>
      <c r="R27" s="41">
        <f t="shared" si="4"/>
        <v>1190793.7937524058</v>
      </c>
      <c r="S27" s="83">
        <f t="shared" si="10"/>
        <v>0.65163522781666117</v>
      </c>
      <c r="T27" s="83">
        <f t="shared" si="5"/>
        <v>8.4176720795121049E-2</v>
      </c>
      <c r="U27" s="59">
        <f t="shared" si="13"/>
        <v>-146000</v>
      </c>
      <c r="V27" s="59">
        <f t="shared" si="6"/>
        <v>1558189.7459166571</v>
      </c>
      <c r="W27" s="13">
        <f>(Calculations!V27/(-Calculations!U27)+1)^(1/Calculations!A27)-1</f>
        <v>0.10780982410232087</v>
      </c>
      <c r="X27" s="3"/>
      <c r="Y27" s="84">
        <f t="shared" si="7"/>
        <v>1225365.0381627898</v>
      </c>
      <c r="Z27" s="8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f>Y27</f>
        <v>1225365.0381627898</v>
      </c>
      <c r="AY27" s="24">
        <f>B27</f>
        <v>34571.244410384017</v>
      </c>
      <c r="AZ27" s="24">
        <f>AY27</f>
        <v>34571.244410384017</v>
      </c>
      <c r="BA27" s="24">
        <f>AZ27</f>
        <v>34571.244410384017</v>
      </c>
      <c r="BB27" s="24">
        <f>BA27</f>
        <v>34571.244410384017</v>
      </c>
      <c r="BC27" s="24">
        <f>BB27</f>
        <v>34571.244410384017</v>
      </c>
      <c r="BD27" s="24">
        <f>BC27</f>
        <v>34571.244410384017</v>
      </c>
      <c r="BE27" s="3"/>
      <c r="BF27" s="3"/>
    </row>
    <row r="28" spans="1:58" x14ac:dyDescent="0.2">
      <c r="A28" s="82">
        <f t="shared" si="29"/>
        <v>25</v>
      </c>
      <c r="B28" s="41">
        <f>F28+H28+'Property Overview'!L52*((1+'Property Overview'!H47)^(Calculations!A28-1))</f>
        <v>35924.635658199171</v>
      </c>
      <c r="C28" s="41">
        <f t="shared" si="12"/>
        <v>513395.9521642513</v>
      </c>
      <c r="D28" s="41">
        <f t="shared" si="15"/>
        <v>549320.58782245044</v>
      </c>
      <c r="E28" s="59">
        <f>'Financial Analysis'!B7*((1+'Property Overview'!H47)^(A28-1))+('Financial Analysis'!B16-'Financial Analysis'!B14)*((1+'Property Overview'!H48)^(A28-1))+('Financial Analysis'!B14)*(('Property Overview'!H47+1)^(A28-1))</f>
        <v>65012.983076247176</v>
      </c>
      <c r="F28" s="59">
        <f>E28+'Financial Analysis'!J8+'Financial Analysis'!J17</f>
        <v>65012.983076247176</v>
      </c>
      <c r="G28" s="59">
        <f>G27*('Property Overview'!H47+1)</f>
        <v>-1930.1246993702716</v>
      </c>
      <c r="H28" s="41">
        <f>IF(A28&gt;='Property Overview'!C48+1,0,'Property Overview'!L51)</f>
        <v>-27158.222718677731</v>
      </c>
      <c r="I28" s="59">
        <f t="shared" si="1"/>
        <v>35924.635658199171</v>
      </c>
      <c r="J28" s="12">
        <f t="shared" si="2"/>
        <v>0.24605914834382994</v>
      </c>
      <c r="K28" s="59">
        <f>IF('Property Overview'!H53="Yes",F28/'Property Overview'!H45,(1+'Property Overview'!H46)*M27)</f>
        <v>1465644.5507579516</v>
      </c>
      <c r="L28" s="59">
        <f>'Financial Analysis'!J28</f>
        <v>0</v>
      </c>
      <c r="M28" s="59">
        <f t="shared" si="9"/>
        <v>1465644.5507579516</v>
      </c>
      <c r="N28" s="59">
        <f>IF('Property Overview'!C45="No",IF(A28&gt;='Property Overview'!C48,0,('Property Overview'!C46-'Property Overview'!C51)*(1+'Property Overview'!C49/12)^(A28*12)+'Property Overview'!L51/12*(((1+('Property Overview'!C49/12))^(A28*12)-1)/('Property Overview'!C49/12)))*(-1),0)</f>
        <v>-124407.26440793858</v>
      </c>
      <c r="O28" s="59">
        <f t="shared" si="16"/>
        <v>1341237.286350013</v>
      </c>
      <c r="P28" s="35">
        <f t="shared" si="3"/>
        <v>0.69171764235937794</v>
      </c>
      <c r="Q28" s="59">
        <f>-M28*'Property Overview'!H49</f>
        <v>-87938.673045477088</v>
      </c>
      <c r="R28" s="41">
        <f t="shared" si="4"/>
        <v>1253298.6133045359</v>
      </c>
      <c r="S28" s="83">
        <f t="shared" si="10"/>
        <v>0.67417435075567966</v>
      </c>
      <c r="T28" s="83">
        <f t="shared" si="5"/>
        <v>8.2658690133209617E-2</v>
      </c>
      <c r="U28" s="59">
        <f t="shared" si="13"/>
        <v>-146000</v>
      </c>
      <c r="V28" s="59">
        <f t="shared" si="6"/>
        <v>1656619.2011269862</v>
      </c>
      <c r="W28" s="13">
        <f>(Calculations!V28/(-Calculations!U28)+1)^(1/Calculations!A28)-1</f>
        <v>0.10576297857823458</v>
      </c>
      <c r="X28" s="3"/>
      <c r="Y28" s="84">
        <f t="shared" si="7"/>
        <v>1289223.2489627351</v>
      </c>
      <c r="Z28" s="8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f>Y28</f>
        <v>1289223.2489627351</v>
      </c>
      <c r="AZ28" s="24">
        <f>B28</f>
        <v>35924.635658199171</v>
      </c>
      <c r="BA28" s="24">
        <f>AZ28</f>
        <v>35924.635658199171</v>
      </c>
      <c r="BB28" s="24">
        <f>BA28</f>
        <v>35924.635658199171</v>
      </c>
      <c r="BC28" s="24">
        <f>BB28</f>
        <v>35924.635658199171</v>
      </c>
      <c r="BD28" s="24">
        <f>BC28</f>
        <v>35924.635658199171</v>
      </c>
      <c r="BE28" s="3"/>
      <c r="BF28" s="3"/>
    </row>
    <row r="29" spans="1:58" x14ac:dyDescent="0.2">
      <c r="A29" s="82">
        <f t="shared" si="29"/>
        <v>26</v>
      </c>
      <c r="B29" s="41">
        <f>E29+H29+'Property Overview'!L52*((1+'Property Overview'!H47)^(Calculations!A29-1))</f>
        <v>37306.282750022983</v>
      </c>
      <c r="C29" s="41">
        <f t="shared" si="12"/>
        <v>549320.58782245044</v>
      </c>
      <c r="D29" s="41">
        <f t="shared" si="15"/>
        <v>586626.87057247339</v>
      </c>
      <c r="E29" s="59">
        <f>'Financial Analysis'!B7*((1+'Property Overview'!H47)^(A29-1))+('Financial Analysis'!B16-'Financial Analysis'!B14)*((1+'Property Overview'!H48)^(A29-1))+('Financial Analysis'!B14)*(('Property Overview'!H47+1)^(A29-1))</f>
        <v>66433.232662058392</v>
      </c>
      <c r="F29" s="59">
        <f>E29</f>
        <v>66433.232662058392</v>
      </c>
      <c r="G29" s="59">
        <f>G28*('Property Overview'!H47+1)</f>
        <v>-1968.7271933576772</v>
      </c>
      <c r="H29" s="41">
        <f>IF(A29&gt;='Property Overview'!C48+1,0,'Property Overview'!L51)</f>
        <v>-27158.222718677731</v>
      </c>
      <c r="I29" s="59">
        <f t="shared" si="1"/>
        <v>37306.282750022983</v>
      </c>
      <c r="J29" s="12">
        <f t="shared" si="2"/>
        <v>0.25552248458919852</v>
      </c>
      <c r="K29" s="59">
        <f>IF('Property Overview'!H53="Yes",E29/'Property Overview'!H45,(1+'Property Overview'!H46)*M28)</f>
        <v>1509613.8872806903</v>
      </c>
      <c r="L29" s="59"/>
      <c r="M29" s="59">
        <f t="shared" si="9"/>
        <v>1509613.8872806903</v>
      </c>
      <c r="N29" s="59">
        <f>IF('Property Overview'!C45="No",IF(A29&gt;='Property Overview'!C48,0,('Property Overview'!C46-'Property Overview'!C51)*(1+'Property Overview'!C49/12)^(A29*12)+'Property Overview'!L51/12*(((1+('Property Overview'!C49/12))^(A29*12)-1)/('Property Overview'!C49/12)))*(-1),0)</f>
        <v>-101233.90231209015</v>
      </c>
      <c r="O29" s="59">
        <f t="shared" si="16"/>
        <v>1408379.9849686001</v>
      </c>
      <c r="P29" s="35">
        <f t="shared" si="3"/>
        <v>0.71540398197678134</v>
      </c>
      <c r="Q29" s="59">
        <f>-M29*'Property Overview'!H49</f>
        <v>-90576.833236841412</v>
      </c>
      <c r="R29" s="41">
        <f t="shared" si="4"/>
        <v>1317803.1517317586</v>
      </c>
      <c r="S29" s="83">
        <f t="shared" si="10"/>
        <v>0.6973343916249708</v>
      </c>
      <c r="T29" s="83">
        <f t="shared" si="5"/>
        <v>8.1234288537832267E-2</v>
      </c>
      <c r="U29" s="59">
        <f t="shared" si="13"/>
        <v>-146000</v>
      </c>
      <c r="V29" s="59">
        <f t="shared" si="6"/>
        <v>1758430.022304232</v>
      </c>
      <c r="W29" s="13">
        <f>(Calculations!V29/(-Calculations!U29)+1)^(1/Calculations!A29)-1</f>
        <v>0.10382561472287732</v>
      </c>
      <c r="X29" s="3"/>
      <c r="Y29" s="84">
        <f t="shared" si="7"/>
        <v>1355109.4344817817</v>
      </c>
      <c r="Z29" s="8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f>Y29</f>
        <v>1355109.4344817817</v>
      </c>
      <c r="BA29" s="24">
        <f>B29</f>
        <v>37306.282750022983</v>
      </c>
      <c r="BB29" s="24">
        <f>BA29</f>
        <v>37306.282750022983</v>
      </c>
      <c r="BC29" s="24">
        <f>BB29</f>
        <v>37306.282750022983</v>
      </c>
      <c r="BD29" s="24">
        <f>BC29</f>
        <v>37306.282750022983</v>
      </c>
      <c r="BE29" s="3"/>
      <c r="BF29" s="3"/>
    </row>
    <row r="30" spans="1:58" x14ac:dyDescent="0.2">
      <c r="A30" s="82">
        <f t="shared" si="29"/>
        <v>27</v>
      </c>
      <c r="B30" s="41">
        <f>E30+H30+'Property Overview'!L52*((1+'Property Overview'!H47)^(Calculations!A30-1))</f>
        <v>38716.762682926128</v>
      </c>
      <c r="C30" s="41">
        <f t="shared" si="12"/>
        <v>586626.87057247339</v>
      </c>
      <c r="D30" s="41">
        <f t="shared" si="15"/>
        <v>625343.63325539953</v>
      </c>
      <c r="E30" s="59">
        <f>'Financial Analysis'!B7*((1+'Property Overview'!H47)^(A30-1))+('Financial Analysis'!B16-'Financial Analysis'!B14)*((1+'Property Overview'!H48)^(A30-1))+('Financial Analysis'!B14)*(('Property Overview'!H47+1)^(A30-1))</f>
        <v>67883.087138828691</v>
      </c>
      <c r="F30" s="59">
        <f>E30</f>
        <v>67883.087138828691</v>
      </c>
      <c r="G30" s="59">
        <f>G29*('Property Overview'!H47+1)</f>
        <v>-2008.1017372248307</v>
      </c>
      <c r="H30" s="41">
        <f>IF(A30&gt;='Property Overview'!C48+1,0,'Property Overview'!L51)</f>
        <v>-27158.222718677731</v>
      </c>
      <c r="I30" s="59">
        <f t="shared" si="1"/>
        <v>38716.762682926128</v>
      </c>
      <c r="J30" s="12">
        <f t="shared" si="2"/>
        <v>0.26518330604743923</v>
      </c>
      <c r="K30" s="59">
        <f>IF('Property Overview'!H53="Yes",E30/'Property Overview'!H45,(1+'Property Overview'!H46)*M29)</f>
        <v>1554902.303899111</v>
      </c>
      <c r="L30" s="59"/>
      <c r="M30" s="59">
        <f t="shared" si="9"/>
        <v>1554902.303899111</v>
      </c>
      <c r="N30" s="59">
        <f>IF('Property Overview'!C45="No",IF(A30&gt;='Property Overview'!C48,0,('Property Overview'!C46-'Property Overview'!C51)*(1+'Property Overview'!C49/12)^(A30*12)+'Property Overview'!L51/12*(((1+('Property Overview'!C49/12))^(A30*12)-1)/('Property Overview'!C49/12)))*(-1),0)</f>
        <v>-77236.334336978383</v>
      </c>
      <c r="O30" s="59">
        <f t="shared" si="16"/>
        <v>1477665.9695621326</v>
      </c>
      <c r="P30" s="35">
        <f t="shared" si="3"/>
        <v>0.73974484435930576</v>
      </c>
      <c r="Q30" s="59">
        <f>-M30*'Property Overview'!H49</f>
        <v>-93294.138233946651</v>
      </c>
      <c r="R30" s="41">
        <f t="shared" si="4"/>
        <v>1384371.831328186</v>
      </c>
      <c r="S30" s="83">
        <f t="shared" si="10"/>
        <v>0.72113316629694169</v>
      </c>
      <c r="T30" s="83">
        <f t="shared" si="5"/>
        <v>7.989466571012159E-2</v>
      </c>
      <c r="U30" s="59">
        <f t="shared" si="13"/>
        <v>-146000</v>
      </c>
      <c r="V30" s="59">
        <f t="shared" si="6"/>
        <v>1863715.4645835855</v>
      </c>
      <c r="W30" s="13">
        <f>(Calculations!V30/(-Calculations!U30)+1)^(1/Calculations!A30)-1</f>
        <v>0.1019885972032184</v>
      </c>
      <c r="X30" s="3"/>
      <c r="Y30" s="84">
        <f t="shared" si="7"/>
        <v>1423088.5940111121</v>
      </c>
      <c r="Z30" s="8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f>Y30</f>
        <v>1423088.5940111121</v>
      </c>
      <c r="BB30" s="24">
        <f>B30</f>
        <v>38716.762682926128</v>
      </c>
      <c r="BC30" s="24">
        <f>BB30</f>
        <v>38716.762682926128</v>
      </c>
      <c r="BD30" s="24">
        <f>BC30</f>
        <v>38716.762682926128</v>
      </c>
      <c r="BE30" s="3"/>
      <c r="BF30" s="3"/>
    </row>
    <row r="31" spans="1:58" x14ac:dyDescent="0.2">
      <c r="A31" s="82">
        <f t="shared" si="29"/>
        <v>28</v>
      </c>
      <c r="B31" s="41">
        <f>E31+H31+'Property Overview'!L52*((1+'Property Overview'!H47)^(Calculations!A31-1))</f>
        <v>40156.664112722625</v>
      </c>
      <c r="C31" s="41">
        <f t="shared" si="12"/>
        <v>625343.63325539953</v>
      </c>
      <c r="D31" s="41">
        <f t="shared" si="15"/>
        <v>665500.29736812215</v>
      </c>
      <c r="E31" s="59">
        <f>'Financial Analysis'!B7*((1+'Property Overview'!H47)^(A31-1))+('Financial Analysis'!B16-'Financial Analysis'!B14)*((1+'Property Overview'!H48)^(A31-1))+('Financial Analysis'!B14)*(('Property Overview'!H47+1)^(A31-1))</f>
        <v>69363.150603369679</v>
      </c>
      <c r="F31" s="59">
        <f>E31</f>
        <v>69363.150603369679</v>
      </c>
      <c r="G31" s="59">
        <f>G30*('Property Overview'!H47+1)</f>
        <v>-2048.2637719693275</v>
      </c>
      <c r="H31" s="41">
        <f>IF(A31&gt;='Property Overview'!C48+1,0,'Property Overview'!L51)</f>
        <v>-27158.222718677731</v>
      </c>
      <c r="I31" s="59">
        <f t="shared" si="1"/>
        <v>40156.664112722618</v>
      </c>
      <c r="J31" s="12">
        <f t="shared" si="2"/>
        <v>0.27504564460768915</v>
      </c>
      <c r="K31" s="59">
        <f>IF('Property Overview'!H53="Yes",E31/'Property Overview'!H45,(1+'Property Overview'!H46)*M30)</f>
        <v>1601549.3730160843</v>
      </c>
      <c r="L31" s="59"/>
      <c r="M31" s="59">
        <f t="shared" si="9"/>
        <v>1601549.3730160843</v>
      </c>
      <c r="N31" s="59">
        <f>IF('Property Overview'!C45="No",IF(A31&gt;='Property Overview'!C48,0,('Property Overview'!C46-'Property Overview'!C51)*(1+'Property Overview'!C49/12)^(A31*12)+'Property Overview'!L51/12*(((1+('Property Overview'!C49/12))^(A31*12)-1)/('Property Overview'!C49/12)))*(-1),0)</f>
        <v>-52385.245990877971</v>
      </c>
      <c r="O31" s="59">
        <f t="shared" si="16"/>
        <v>1549164.1270252063</v>
      </c>
      <c r="P31" s="35">
        <f t="shared" si="3"/>
        <v>0.76475905188901605</v>
      </c>
      <c r="Q31" s="59">
        <f>-M31*'Property Overview'!H49</f>
        <v>-96092.962380965051</v>
      </c>
      <c r="R31" s="41">
        <f t="shared" si="4"/>
        <v>1453071.1646442413</v>
      </c>
      <c r="S31" s="83">
        <f t="shared" si="10"/>
        <v>0.74558902348478062</v>
      </c>
      <c r="T31" s="83">
        <f t="shared" si="5"/>
        <v>7.8632051711381615E-2</v>
      </c>
      <c r="U31" s="59">
        <f t="shared" si="13"/>
        <v>-146000</v>
      </c>
      <c r="V31" s="59">
        <f t="shared" si="6"/>
        <v>1972571.4620123636</v>
      </c>
      <c r="W31" s="13">
        <f>(Calculations!V31/(-Calculations!U31)+1)^(1/Calculations!A31)-1</f>
        <v>0.10024382023921929</v>
      </c>
      <c r="X31" s="3"/>
      <c r="Y31" s="84">
        <f t="shared" si="7"/>
        <v>1493227.8287569641</v>
      </c>
      <c r="Z31" s="8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f>Y31</f>
        <v>1493227.8287569641</v>
      </c>
      <c r="BC31" s="24">
        <f>B31</f>
        <v>40156.664112722625</v>
      </c>
      <c r="BD31" s="24">
        <f>BC31</f>
        <v>40156.664112722625</v>
      </c>
      <c r="BE31" s="3"/>
      <c r="BF31" s="3"/>
    </row>
    <row r="32" spans="1:58" x14ac:dyDescent="0.2">
      <c r="A32" s="82">
        <f t="shared" si="29"/>
        <v>29</v>
      </c>
      <c r="B32" s="41">
        <f>E32+H32+'Property Overview'!L52*((1+'Property Overview'!H47)^(Calculations!A32-1))</f>
        <v>41626.587588332703</v>
      </c>
      <c r="C32" s="41">
        <f t="shared" si="12"/>
        <v>665500.29736812215</v>
      </c>
      <c r="D32" s="41">
        <f t="shared" si="15"/>
        <v>707126.88495645486</v>
      </c>
      <c r="E32" s="59">
        <f>'Financial Analysis'!B7*((1+'Property Overview'!H47)^(A32-1))+('Financial Analysis'!B16-'Financial Analysis'!B14)*((1+'Property Overview'!H48)^(A32-1))+('Financial Analysis'!B14)*(('Property Overview'!H47+1)^(A32-1))</f>
        <v>70874.039354419147</v>
      </c>
      <c r="F32" s="59">
        <f>E32</f>
        <v>70874.039354419147</v>
      </c>
      <c r="G32" s="59">
        <f>G31*('Property Overview'!H47+1)</f>
        <v>-2089.229047408714</v>
      </c>
      <c r="H32" s="41">
        <f>IF(A32&gt;='Property Overview'!C48+1,0,'Property Overview'!L51)</f>
        <v>-27158.222718677731</v>
      </c>
      <c r="I32" s="59">
        <f t="shared" si="1"/>
        <v>41626.587588332695</v>
      </c>
      <c r="J32" s="12">
        <f t="shared" si="2"/>
        <v>0.28511361361871707</v>
      </c>
      <c r="K32" s="59">
        <f>IF('Property Overview'!H53="Yes",E32/'Property Overview'!H45,(1+'Property Overview'!H46)*M31)</f>
        <v>1649595.8542065669</v>
      </c>
      <c r="L32" s="59"/>
      <c r="M32" s="59">
        <f t="shared" si="9"/>
        <v>1649595.8542065669</v>
      </c>
      <c r="N32" s="59">
        <f>IF('Property Overview'!C45="No",IF(A32&gt;='Property Overview'!C48,0,('Property Overview'!C46-'Property Overview'!C51)*(1+'Property Overview'!C49/12)^(A32*12)+'Property Overview'!L51/12*(((1+('Property Overview'!C49/12))^(A32*12)-1)/('Property Overview'!C49/12)))*(-1),0)</f>
        <v>-26650.280154915992</v>
      </c>
      <c r="O32" s="59">
        <f t="shared" si="16"/>
        <v>1622945.5740516509</v>
      </c>
      <c r="P32" s="35">
        <f t="shared" si="3"/>
        <v>0.79046599051217326</v>
      </c>
      <c r="Q32" s="59">
        <f>-M32*'Property Overview'!H49</f>
        <v>-98975.751252394009</v>
      </c>
      <c r="R32" s="41">
        <f t="shared" si="4"/>
        <v>1523969.822799257</v>
      </c>
      <c r="S32" s="83">
        <f t="shared" si="10"/>
        <v>0.77072086125581074</v>
      </c>
      <c r="T32" s="83">
        <f t="shared" si="5"/>
        <v>7.7439597234659999E-2</v>
      </c>
      <c r="U32" s="59">
        <f t="shared" si="13"/>
        <v>-146000</v>
      </c>
      <c r="V32" s="59">
        <f t="shared" si="6"/>
        <v>2085096.7077557119</v>
      </c>
      <c r="W32" s="13">
        <f>(Calculations!V32/(-Calculations!U32)+1)^(1/Calculations!A32)-1</f>
        <v>9.858406295981581E-2</v>
      </c>
      <c r="X32" s="3"/>
      <c r="Y32" s="84">
        <f t="shared" si="7"/>
        <v>1565596.4103875896</v>
      </c>
      <c r="Z32" s="8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f>Y32</f>
        <v>1565596.4103875896</v>
      </c>
      <c r="BD32" s="24">
        <f>B32</f>
        <v>41626.587588332703</v>
      </c>
      <c r="BE32" s="3"/>
      <c r="BF32" s="3"/>
    </row>
    <row r="33" spans="1:58" x14ac:dyDescent="0.2">
      <c r="A33" s="82">
        <v>30</v>
      </c>
      <c r="B33" s="41">
        <f>F33+H33+'Property Overview'!L52*((1+'Property Overview'!H47)^(Calculations!A33-1))</f>
        <v>43127.145790844792</v>
      </c>
      <c r="C33" s="41">
        <f t="shared" si="12"/>
        <v>707126.88495645486</v>
      </c>
      <c r="D33" s="41">
        <f t="shared" si="15"/>
        <v>750254.03074729966</v>
      </c>
      <c r="E33" s="59">
        <f>'Financial Analysis'!B7*((1+'Property Overview'!H47)^(A33-1))+('Financial Analysis'!B16-'Financial Analysis'!B14)*((1+'Property Overview'!H48)^(A33-1))+('Financial Analysis'!B14)*(('Property Overview'!H47+1)^(A33-1))</f>
        <v>72416.382137879409</v>
      </c>
      <c r="F33" s="59">
        <f>E33+'Financial Analysis'!K8+'Financial Analysis'!K17</f>
        <v>72416.382137879409</v>
      </c>
      <c r="G33" s="59">
        <f>G32*('Property Overview'!H47+1)</f>
        <v>-2131.0136283568881</v>
      </c>
      <c r="H33" s="41">
        <f>IF(A33&gt;='Property Overview'!C48+1,0,'Property Overview'!L51)</f>
        <v>-27158.222718677731</v>
      </c>
      <c r="I33" s="59">
        <f t="shared" si="1"/>
        <v>43127.145790844792</v>
      </c>
      <c r="J33" s="12">
        <f t="shared" si="2"/>
        <v>0.29539140952633419</v>
      </c>
      <c r="K33" s="59">
        <f>IF('Property Overview'!H53="Yes",F33/'Property Overview'!H45,(1+'Property Overview'!H46)*M32)</f>
        <v>1699083.729832764</v>
      </c>
      <c r="L33" s="59">
        <f>'Financial Analysis'!K28</f>
        <v>0</v>
      </c>
      <c r="M33" s="59">
        <f t="shared" si="9"/>
        <v>1699083.729832764</v>
      </c>
      <c r="N33" s="59">
        <f>IF('Property Overview'!C45="No",IF(A33&gt;='Property Overview'!C48,0,('Property Overview'!C46-'Property Overview'!C51)*(1+'Property Overview'!C49/12)^(A33*12)+'Property Overview'!L51/12*(((1+('Property Overview'!C49/12))^(A33*12)-1)/('Property Overview'!C49/12)))*(-1),0)</f>
        <v>0</v>
      </c>
      <c r="O33" s="59">
        <f t="shared" si="16"/>
        <v>1699083.729832764</v>
      </c>
      <c r="P33" s="35">
        <f t="shared" si="3"/>
        <v>0.81688562720519087</v>
      </c>
      <c r="Q33" s="59">
        <f>-M33*'Property Overview'!H49</f>
        <v>-101945.02378996584</v>
      </c>
      <c r="R33" s="41">
        <f t="shared" si="4"/>
        <v>1597138.7060427982</v>
      </c>
      <c r="S33" s="83">
        <f t="shared" si="10"/>
        <v>0.79654814407113717</v>
      </c>
      <c r="T33" s="83">
        <f t="shared" si="5"/>
        <v>7.6311241400286556E-2</v>
      </c>
      <c r="U33" s="59">
        <f t="shared" si="13"/>
        <v>-146000</v>
      </c>
      <c r="V33" s="59">
        <f t="shared" si="6"/>
        <v>2201392.7367900978</v>
      </c>
      <c r="W33" s="13">
        <f>(Calculations!V33/(-Calculations!U33)+1)^(1/Calculations!A33)-1</f>
        <v>9.7002868915053497E-2</v>
      </c>
      <c r="X33" s="3"/>
      <c r="Y33" s="84">
        <f t="shared" si="7"/>
        <v>1640265.8518336429</v>
      </c>
      <c r="Z33" s="8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f>Y33</f>
        <v>1640265.8518336429</v>
      </c>
      <c r="BE33" s="59"/>
      <c r="BF33" s="3"/>
    </row>
    <row r="34" spans="1:58" s="4" customFormat="1" x14ac:dyDescent="0.2">
      <c r="S34" s="13"/>
      <c r="T34" s="13"/>
      <c r="U34" s="13"/>
      <c r="Z34" s="21" t="s">
        <v>57</v>
      </c>
      <c r="AA34" s="13">
        <f t="shared" ref="AA34:BD34" si="38">IRR(AA3:AA33)</f>
        <v>0.32523412610778069</v>
      </c>
      <c r="AB34" s="13">
        <f t="shared" si="38"/>
        <v>0.27547522134176217</v>
      </c>
      <c r="AC34" s="13">
        <f t="shared" si="38"/>
        <v>0.25163760155405823</v>
      </c>
      <c r="AD34" s="13">
        <f t="shared" si="38"/>
        <v>0.23552706947691338</v>
      </c>
      <c r="AE34" s="13">
        <f t="shared" si="38"/>
        <v>0.22323751600655006</v>
      </c>
      <c r="AF34" s="13">
        <f t="shared" si="38"/>
        <v>0.2132999339528685</v>
      </c>
      <c r="AG34" s="13">
        <f t="shared" si="38"/>
        <v>0.20498767214658553</v>
      </c>
      <c r="AH34" s="13">
        <f t="shared" si="38"/>
        <v>0.19787877455118141</v>
      </c>
      <c r="AI34" s="13">
        <f t="shared" si="38"/>
        <v>0.19170188726693405</v>
      </c>
      <c r="AJ34" s="13">
        <f t="shared" si="38"/>
        <v>0.18627004306244288</v>
      </c>
      <c r="AK34" s="13">
        <f t="shared" si="38"/>
        <v>0.18144794527949637</v>
      </c>
      <c r="AL34" s="13">
        <f t="shared" si="38"/>
        <v>0.1771340601045075</v>
      </c>
      <c r="AM34" s="13">
        <f t="shared" si="38"/>
        <v>0.17325002536474976</v>
      </c>
      <c r="AN34" s="13">
        <f t="shared" si="38"/>
        <v>0.16973399970316749</v>
      </c>
      <c r="AO34" s="13">
        <f t="shared" si="38"/>
        <v>0.16653628366441864</v>
      </c>
      <c r="AP34" s="13">
        <f t="shared" si="38"/>
        <v>0.16361632460400255</v>
      </c>
      <c r="AQ34" s="13">
        <f t="shared" si="38"/>
        <v>0.16094060312599434</v>
      </c>
      <c r="AR34" s="13">
        <f t="shared" si="38"/>
        <v>0.15848110230640811</v>
      </c>
      <c r="AS34" s="13">
        <f t="shared" si="38"/>
        <v>0.1562141743792993</v>
      </c>
      <c r="AT34" s="13">
        <f t="shared" si="38"/>
        <v>0.15411968574987256</v>
      </c>
      <c r="AU34" s="13">
        <f t="shared" si="38"/>
        <v>0.15218036137834989</v>
      </c>
      <c r="AV34" s="13">
        <f t="shared" si="38"/>
        <v>0.15038127481368058</v>
      </c>
      <c r="AW34" s="13">
        <f t="shared" si="38"/>
        <v>0.14870944648058515</v>
      </c>
      <c r="AX34" s="13">
        <f t="shared" si="38"/>
        <v>0.1471535236597894</v>
      </c>
      <c r="AY34" s="13">
        <f t="shared" si="38"/>
        <v>0.14570352296011757</v>
      </c>
      <c r="AZ34" s="13">
        <f t="shared" si="38"/>
        <v>0.14435062118013198</v>
      </c>
      <c r="BA34" s="13">
        <f t="shared" si="38"/>
        <v>0.14308698405435472</v>
      </c>
      <c r="BB34" s="13">
        <f t="shared" si="38"/>
        <v>0.14190562495827597</v>
      </c>
      <c r="BC34" s="13">
        <f t="shared" si="38"/>
        <v>0.14080028752268769</v>
      </c>
      <c r="BD34" s="13">
        <f t="shared" si="38"/>
        <v>0.13976534749101122</v>
      </c>
    </row>
    <row r="35" spans="1:58" ht="18" customHeight="1" x14ac:dyDescent="0.2">
      <c r="A35" s="185" t="s">
        <v>168</v>
      </c>
      <c r="B35" s="185"/>
      <c r="C35" s="185"/>
      <c r="D35" s="185"/>
      <c r="E35" s="185"/>
      <c r="F35" s="185"/>
      <c r="G35" s="185"/>
      <c r="H35" s="185"/>
      <c r="I35" s="185"/>
      <c r="J35" s="185"/>
      <c r="K35" s="185"/>
      <c r="L35" s="185"/>
      <c r="M35" s="185"/>
      <c r="N35" s="185"/>
      <c r="O35" s="185"/>
      <c r="P35" s="185"/>
      <c r="Q35" s="185"/>
      <c r="R35" s="185"/>
      <c r="S35" s="185"/>
      <c r="T35" s="185"/>
      <c r="U35" s="185"/>
      <c r="V35" s="185"/>
      <c r="W35" s="185"/>
      <c r="X35" s="86"/>
      <c r="Y35" s="86"/>
      <c r="Z35" s="86"/>
      <c r="AA35" s="86"/>
      <c r="AB35" s="86"/>
      <c r="AC35" s="86"/>
      <c r="AD35" s="86"/>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ht="18" customHeight="1" x14ac:dyDescent="0.2">
      <c r="A36" s="185"/>
      <c r="B36" s="185"/>
      <c r="C36" s="185"/>
      <c r="D36" s="185"/>
      <c r="E36" s="185"/>
      <c r="F36" s="185"/>
      <c r="G36" s="185"/>
      <c r="H36" s="185"/>
      <c r="I36" s="185"/>
      <c r="J36" s="185"/>
      <c r="K36" s="185"/>
      <c r="L36" s="185"/>
      <c r="M36" s="185"/>
      <c r="N36" s="185"/>
      <c r="O36" s="185"/>
      <c r="P36" s="185"/>
      <c r="Q36" s="185"/>
      <c r="R36" s="185"/>
      <c r="S36" s="185"/>
      <c r="T36" s="185"/>
      <c r="U36" s="185"/>
      <c r="V36" s="185"/>
      <c r="W36" s="185"/>
      <c r="X36" s="86"/>
      <c r="Y36" s="86"/>
      <c r="Z36" s="86"/>
      <c r="AA36" s="86"/>
      <c r="AB36" s="86"/>
      <c r="AC36" s="86"/>
      <c r="AD36" s="86"/>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ht="18" customHeight="1" x14ac:dyDescent="0.2">
      <c r="A37" s="185"/>
      <c r="B37" s="185"/>
      <c r="C37" s="185"/>
      <c r="D37" s="185"/>
      <c r="E37" s="185"/>
      <c r="F37" s="185"/>
      <c r="G37" s="185"/>
      <c r="H37" s="185"/>
      <c r="I37" s="185"/>
      <c r="J37" s="185"/>
      <c r="K37" s="185"/>
      <c r="L37" s="185"/>
      <c r="M37" s="185"/>
      <c r="N37" s="185"/>
      <c r="O37" s="185"/>
      <c r="P37" s="185"/>
      <c r="Q37" s="185"/>
      <c r="R37" s="185"/>
      <c r="S37" s="185"/>
      <c r="T37" s="185"/>
      <c r="U37" s="185"/>
      <c r="V37" s="185"/>
      <c r="W37" s="185"/>
      <c r="X37" s="86"/>
      <c r="Y37" s="86"/>
      <c r="Z37" s="86"/>
      <c r="AA37" s="86"/>
      <c r="AB37" s="86"/>
      <c r="AC37" s="86"/>
      <c r="AD37" s="86"/>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ht="12.75" customHeight="1" x14ac:dyDescent="0.25">
      <c r="A38" s="52"/>
      <c r="B38" s="52"/>
      <c r="C38" s="52"/>
      <c r="D38" s="52"/>
      <c r="E38" s="52"/>
      <c r="F38" s="52"/>
      <c r="G38" s="52"/>
      <c r="H38" s="52"/>
      <c r="I38" s="52"/>
      <c r="J38" s="52"/>
      <c r="K38" s="52"/>
      <c r="L38" s="52"/>
      <c r="M38" s="52"/>
      <c r="N38" s="52"/>
      <c r="O38" s="52"/>
      <c r="P38" s="52"/>
      <c r="Q38" s="52"/>
      <c r="R38" s="52"/>
      <c r="S38" s="150"/>
      <c r="T38" s="52"/>
      <c r="U38" s="52"/>
      <c r="V38" s="52"/>
      <c r="W38" s="52"/>
      <c r="X38" s="86"/>
      <c r="Y38" s="86"/>
      <c r="Z38" s="86"/>
      <c r="AA38" s="86"/>
      <c r="AB38" s="86"/>
      <c r="AC38" s="86"/>
      <c r="AD38" s="86"/>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ht="18" customHeight="1" x14ac:dyDescent="0.2">
      <c r="A39" s="185" t="s">
        <v>169</v>
      </c>
      <c r="B39" s="185"/>
      <c r="C39" s="185"/>
      <c r="D39" s="185"/>
      <c r="E39" s="185"/>
      <c r="F39" s="185"/>
      <c r="G39" s="185"/>
      <c r="H39" s="185"/>
      <c r="I39" s="185"/>
      <c r="J39" s="185"/>
      <c r="K39" s="185"/>
      <c r="L39" s="185"/>
      <c r="M39" s="185"/>
      <c r="N39" s="185"/>
      <c r="O39" s="185"/>
      <c r="P39" s="185"/>
      <c r="Q39" s="185"/>
      <c r="R39" s="185"/>
      <c r="S39" s="185"/>
      <c r="T39" s="185"/>
      <c r="U39" s="185"/>
      <c r="V39" s="185"/>
      <c r="W39" s="185"/>
      <c r="X39" s="86"/>
      <c r="Y39" s="86"/>
      <c r="Z39" s="86"/>
      <c r="AA39" s="86"/>
      <c r="AB39" s="86"/>
      <c r="AC39" s="86"/>
      <c r="AD39" s="86"/>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ht="18" customHeight="1" x14ac:dyDescent="0.2">
      <c r="A40" s="18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58" ht="18" customHeight="1" x14ac:dyDescent="0.2">
      <c r="A41" s="18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58" ht="12.75" customHeight="1" x14ac:dyDescent="0.2">
      <c r="A42" s="187" t="s">
        <v>191</v>
      </c>
      <c r="B42" s="187"/>
      <c r="C42" s="187"/>
      <c r="D42" s="187"/>
      <c r="E42" s="187"/>
      <c r="F42" s="187"/>
      <c r="G42" s="187"/>
      <c r="H42" s="187"/>
      <c r="I42" s="187"/>
      <c r="J42" s="187"/>
      <c r="K42" s="187"/>
      <c r="L42" s="187"/>
      <c r="M42" s="187"/>
      <c r="N42" s="187"/>
      <c r="O42" s="187"/>
      <c r="P42" s="187"/>
      <c r="Q42" s="187"/>
      <c r="R42" s="187"/>
      <c r="S42" s="187"/>
      <c r="T42" s="187"/>
      <c r="U42" s="187"/>
      <c r="V42" s="187"/>
      <c r="W42" s="187"/>
    </row>
    <row r="43" spans="1:58"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row>
    <row r="44" spans="1:58" x14ac:dyDescent="0.2">
      <c r="A44" s="187"/>
      <c r="B44" s="187"/>
      <c r="C44" s="187"/>
      <c r="D44" s="187"/>
      <c r="E44" s="187"/>
      <c r="F44" s="187"/>
      <c r="G44" s="187"/>
      <c r="H44" s="187"/>
      <c r="I44" s="187"/>
      <c r="J44" s="187"/>
      <c r="K44" s="187"/>
      <c r="L44" s="187"/>
      <c r="M44" s="187"/>
      <c r="N44" s="187"/>
      <c r="O44" s="187"/>
      <c r="P44" s="187"/>
      <c r="Q44" s="187"/>
      <c r="R44" s="187"/>
      <c r="S44" s="187"/>
      <c r="T44" s="187"/>
      <c r="U44" s="187"/>
      <c r="V44" s="187"/>
      <c r="W44" s="187"/>
    </row>
    <row r="45" spans="1:58"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row>
    <row r="46" spans="1:58"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row>
  </sheetData>
  <sheetProtection password="EACF" sheet="1" selectLockedCells="1"/>
  <mergeCells count="4">
    <mergeCell ref="A39:W41"/>
    <mergeCell ref="A35:W37"/>
    <mergeCell ref="A1:X1"/>
    <mergeCell ref="A42:W46"/>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Property Overview</vt:lpstr>
      <vt:lpstr>Financial Analysis</vt:lpstr>
      <vt:lpstr>Definitions</vt:lpstr>
      <vt:lpstr>Calculations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Rental Property Analysis</dc:title>
  <dc:creator>Paul Cooney</dc:creator>
  <cp:keywords>BestCallPaul</cp:keywords>
  <cp:lastModifiedBy>paulcooney888</cp:lastModifiedBy>
  <cp:lastPrinted>2020-07-16T23:45:44Z</cp:lastPrinted>
  <dcterms:created xsi:type="dcterms:W3CDTF">2004-10-19T21:47:30Z</dcterms:created>
  <dcterms:modified xsi:type="dcterms:W3CDTF">2020-07-16T23:48:40Z</dcterms:modified>
</cp:coreProperties>
</file>